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tables/table13.xml" ContentType="application/vnd.openxmlformats-officedocument.spreadsheetml.table+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harts/chart10.xml" ContentType="application/vnd.openxmlformats-officedocument.drawingml.chart+xml"/>
  <Override PartName="/xl/drawings/drawing8.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harts/chart13.xml" ContentType="application/vnd.openxmlformats-officedocument.drawingml.chart+xml"/>
  <Override PartName="/xl/drawings/drawing10.xml" ContentType="application/vnd.openxmlformats-officedocument.drawing+xml"/>
  <Override PartName="/xl/tables/table24.xml" ContentType="application/vnd.openxmlformats-officedocument.spreadsheetml.table+xml"/>
  <Override PartName="/xl/charts/chart14.xml" ContentType="application/vnd.openxmlformats-officedocument.drawingml.chart+xml"/>
  <Override PartName="/xl/drawings/drawing11.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15.xml" ContentType="application/vnd.openxmlformats-officedocument.drawingml.chart+xml"/>
  <Override PartName="/xl/drawings/drawing12.xml" ContentType="application/vnd.openxmlformats-officedocument.drawing+xml"/>
  <Override PartName="/xl/tables/table27.xml" ContentType="application/vnd.openxmlformats-officedocument.spreadsheetml.table+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workbookProtection workbookPassword="8E6E" lockStructure="1"/>
  <bookViews>
    <workbookView showSheetTabs="0" xWindow="-15" yWindow="1560" windowWidth="13515" windowHeight="5925" tabRatio="949" firstSheet="4"/>
  </bookViews>
  <sheets>
    <sheet name="Intro" sheetId="57" r:id="rId1"/>
    <sheet name="Methods" sheetId="40" r:id="rId2"/>
    <sheet name="Demos" sheetId="21" r:id="rId3"/>
    <sheet name="Climate and Harassment" sheetId="26" r:id="rId4"/>
    <sheet name="Prevention Training" sheetId="27" r:id="rId5"/>
    <sheet name="SV Experiences" sheetId="33" r:id="rId6"/>
    <sheet name="Perp Behavior" sheetId="32" r:id="rId7"/>
    <sheet name="Reporting" sheetId="34" r:id="rId8"/>
    <sheet name="Stalking and Harassment" sheetId="55" r:id="rId9"/>
    <sheet name="Intimate Partner Violence" sheetId="54" r:id="rId10"/>
    <sheet name="Community Behaviors" sheetId="53" r:id="rId11"/>
    <sheet name="Community Attitudes" sheetId="62" r:id="rId12"/>
    <sheet name="Resources " sheetId="56" r:id="rId13"/>
  </sheets>
  <definedNames>
    <definedName name="_xlnm._FilterDatabase" localSheetId="6" hidden="1">'Perp Behavior'!$R$27:$S$36</definedName>
    <definedName name="_xlnm._FilterDatabase" localSheetId="7" hidden="1">Reporting!#REF!</definedName>
    <definedName name="abnormals">#REF!</definedName>
    <definedName name="action_asked">#REF!</definedName>
    <definedName name="action_confronted">#REF!</definedName>
    <definedName name="action_distraction">#REF!</definedName>
    <definedName name="action_group_var_sum">#REF!</definedName>
    <definedName name="action_no_action">#REF!</definedName>
    <definedName name="action_others">#REF!</definedName>
    <definedName name="action_risky">#REF!</definedName>
    <definedName name="action_stepped_in">#REF!</definedName>
    <definedName name="action_told">#REF!</definedName>
    <definedName name="affiliated_school">#REF!</definedName>
    <definedName name="amer_indian">#REF!</definedName>
    <definedName name="analytic_sample_size">#REF!</definedName>
    <definedName name="asian">#REF!</definedName>
    <definedName name="barrier_believe">#REF!</definedName>
    <definedName name="barrier_didnt_know">#REF!</definedName>
    <definedName name="barrier_forget">#REF!</definedName>
    <definedName name="barrier_harass">#REF!</definedName>
    <definedName name="barrier_illegal">#REF!</definedName>
    <definedName name="barrier_no_harm">#REF!</definedName>
    <definedName name="barrier_other">#REF!</definedName>
    <definedName name="barrier_proof">#REF!</definedName>
    <definedName name="barrier_serious">#REF!</definedName>
    <definedName name="barrier_shame">#REF!</definedName>
    <definedName name="barrier_trouble">#REF!</definedName>
    <definedName name="black">#REF!</definedName>
    <definedName name="carnegie">#REF!</definedName>
    <definedName name="citizenship">#REF!</definedName>
    <definedName name="class_standing">#REF!</definedName>
    <definedName name="climate_admins_welfare">#REF!</definedName>
    <definedName name="climate_close">#REF!</definedName>
    <definedName name="climate_faculty_welfare">#REF!</definedName>
    <definedName name="climate_safe">#REF!</definedName>
    <definedName name="close_date">#REF!</definedName>
    <definedName name="completers">#REF!</definedName>
    <definedName name="concern_safety">#REF!</definedName>
    <definedName name="confident_administration">#REF!</definedName>
    <definedName name="confident_help">#REF!</definedName>
    <definedName name="confident_procedures">#REF!</definedName>
    <definedName name="confident_resources">#REF!</definedName>
    <definedName name="consent">#REF!</definedName>
    <definedName name="country">#REF!</definedName>
    <definedName name="disquals">#REF!</definedName>
    <definedName name="experienced_ipv">#REF!</definedName>
    <definedName name="friend_tell">#REF!</definedName>
    <definedName name="gender">#REF!</definedName>
    <definedName name="group_arts">#REF!</definedName>
    <definedName name="group_club">#REF!</definedName>
    <definedName name="group_cultural">#REF!</definedName>
    <definedName name="group_government">#REF!</definedName>
    <definedName name="group_greek">#REF!</definedName>
    <definedName name="group_intercollegiate">#REF!</definedName>
    <definedName name="group_intramural">#REF!</definedName>
    <definedName name="group_no">#REF!</definedName>
    <definedName name="group_other">#REF!</definedName>
    <definedName name="group_other_write">#REF!</definedName>
    <definedName name="group_var_sum">#REF!</definedName>
    <definedName name="harass_bribe_class">#REF!</definedName>
    <definedName name="harass_bribe_combo">#REF!</definedName>
    <definedName name="harass_bribe_never">#REF!</definedName>
    <definedName name="harass_bribe_other">#REF!</definedName>
    <definedName name="harass_bribe_social">#REF!</definedName>
    <definedName name="harass_comment_class">#REF!</definedName>
    <definedName name="harass_comment_never">#REF!</definedName>
    <definedName name="harass_comment_other">#REF!</definedName>
    <definedName name="harass_comment_social">#REF!</definedName>
    <definedName name="harass_crude_class">#REF!</definedName>
    <definedName name="harass_crude_combo">#REF!</definedName>
    <definedName name="harass_crude_never">#REF!</definedName>
    <definedName name="harass_crude_other">#REF!</definedName>
    <definedName name="harass_crude_social">#REF!</definedName>
    <definedName name="harass_dates">#REF!</definedName>
    <definedName name="harass_email">#REF!</definedName>
    <definedName name="harass_email_class">#REF!</definedName>
    <definedName name="harass_email_combo">#REF!</definedName>
    <definedName name="harass_email_never">#REF!</definedName>
    <definedName name="harass_email_other">#REF!</definedName>
    <definedName name="harass_email_social">#REF!</definedName>
    <definedName name="harass_jokes_class">#REF!</definedName>
    <definedName name="harass_jokes_combo">#REF!</definedName>
    <definedName name="harass_jokes_never">#REF!</definedName>
    <definedName name="harass_jokes_other">#REF!</definedName>
    <definedName name="harass_jokes_social">#REF!</definedName>
    <definedName name="harass_none">#REF!</definedName>
    <definedName name="harass_offensive">#REF!</definedName>
    <definedName name="harass_other">#REF!</definedName>
    <definedName name="harass_other_write">#REF!</definedName>
    <definedName name="harass_phone">#REF!</definedName>
    <definedName name="harass_photos">#REF!</definedName>
    <definedName name="harass_physically_harm">#REF!</definedName>
    <definedName name="harass_rel_affiliated">#REF!</definedName>
    <definedName name="harass_rel_expartner">#REF!</definedName>
    <definedName name="harass_rel_friend">#REF!</definedName>
    <definedName name="harass_rel_none">#REF!</definedName>
    <definedName name="harass_rel_partner">#REF!</definedName>
    <definedName name="harass_rel_peer">#REF!</definedName>
    <definedName name="harass_rel_prof">#REF!</definedName>
    <definedName name="harass_report_incident">#REF!</definedName>
    <definedName name="harass_report_resolve">#REF!</definedName>
    <definedName name="harass_response_believed">#REF!</definedName>
    <definedName name="harass_response_blamed">#REF!</definedName>
    <definedName name="harass_response_doubted">#REF!</definedName>
    <definedName name="harass_response_excused">#REF!</definedName>
    <definedName name="harass_response_forget">#REF!</definedName>
    <definedName name="harass_response_gather_info">#REF!</definedName>
    <definedName name="harass_response_supported">#REF!</definedName>
    <definedName name="harass_response_sympathetic">#REF!</definedName>
    <definedName name="harass_rumors">#REF!</definedName>
    <definedName name="harass_show_up">#REF!</definedName>
    <definedName name="harass_tell_advocate">#REF!</definedName>
    <definedName name="harass_tell_family">#REF!</definedName>
    <definedName name="harass_tell_friend">#REF!</definedName>
    <definedName name="harass_tell_group_var_sum">#REF!</definedName>
    <definedName name="harass_tell_none">#REF!</definedName>
    <definedName name="harass_tell_other">#REF!</definedName>
    <definedName name="harass_tell_other_write">#REF!</definedName>
    <definedName name="harass_tell_partner">#REF!</definedName>
    <definedName name="harass_tell_police">#REF!</definedName>
    <definedName name="harass_tell_prof">#REF!</definedName>
    <definedName name="harass_tell_reshall">#REF!</definedName>
    <definedName name="hawaiian">#REF!</definedName>
    <definedName name="injured">#REF!</definedName>
    <definedName name="institution">#REF!</definedName>
    <definedName name="intimate_partner">#REF!</definedName>
    <definedName name="latino">#REF!</definedName>
    <definedName name="launch_date">#REF!</definedName>
    <definedName name="loc_bar">#REF!</definedName>
    <definedName name="loc_frat">#REF!</definedName>
    <definedName name="loc_group_var_sum">#REF!</definedName>
    <definedName name="loc_off_campus_other">#REF!</definedName>
    <definedName name="loc_off_campus_other_write">#REF!</definedName>
    <definedName name="loc_offcampus_apt">#REF!</definedName>
    <definedName name="loc_on_campus_other">#REF!</definedName>
    <definedName name="loc_on_campus_other_write">#REF!</definedName>
    <definedName name="loc_reshall">#REF!</definedName>
    <definedName name="loc_soro">#REF!</definedName>
    <definedName name="medical">#REF!</definedName>
    <definedName name="mental_disability">#REF!</definedName>
    <definedName name="myth_bad_situations">#REF!</definedName>
    <definedName name="myth_carried_away">#REF!</definedName>
    <definedName name="myth_consent">#REF!</definedName>
    <definedName name="myth_drunk">#REF!</definedName>
    <definedName name="myth_hookup">#REF!</definedName>
    <definedName name="myth_man_drunk">#REF!</definedName>
    <definedName name="myth_miscommunication">#REF!</definedName>
    <definedName name="myth_regret">#REF!</definedName>
    <definedName name="myth_says_no">#REF!</definedName>
    <definedName name="myth_unintentional">#REF!</definedName>
    <definedName name="observed_sv">#REF!</definedName>
    <definedName name="partials">#REF!</definedName>
    <definedName name="peers_abusive">#REF!</definedName>
    <definedName name="peers_authority">#REF!</definedName>
    <definedName name="peers_blame">#REF!</definedName>
    <definedName name="peers_consent">#REF!</definedName>
    <definedName name="peers_decide">#REF!</definedName>
    <definedName name="peers_help">#REF!</definedName>
    <definedName name="peers_joke">#REF!</definedName>
    <definedName name="peers_passed_out">#REF!</definedName>
    <definedName name="peers_report">#REF!</definedName>
    <definedName name="peers_upset">#REF!</definedName>
    <definedName name="perp_displeasure">#REF!</definedName>
    <definedName name="perp_drinking">#REF!</definedName>
    <definedName name="perp_drunk">#REF!</definedName>
    <definedName name="perp_force">#REF!</definedName>
    <definedName name="perp_give_alcohol">#REF!</definedName>
    <definedName name="perp_give_drugs">#REF!</definedName>
    <definedName name="perp_harm">#REF!</definedName>
    <definedName name="perp_incapacitated">#REF!</definedName>
    <definedName name="perp_lies">#REF!</definedName>
    <definedName name="perp_marijuana">#REF!</definedName>
    <definedName name="perp_offguard">#REF!</definedName>
    <definedName name="perp_other_drugs">#REF!</definedName>
    <definedName name="perp_outed">#REF!</definedName>
    <definedName name="perp_sex">#REF!</definedName>
    <definedName name="physical_disability">#REF!</definedName>
    <definedName name="race_other">#REF!</definedName>
    <definedName name="race_var_sum">#REF!</definedName>
    <definedName name="rel_acquaintance">#REF!</definedName>
    <definedName name="rel_expartner">#REF!</definedName>
    <definedName name="rel_friend">#REF!</definedName>
    <definedName name="rel_none">#REF!</definedName>
    <definedName name="rel_other">#REF!</definedName>
    <definedName name="rel_other_write">#REF!</definedName>
    <definedName name="rel_partner">#REF!</definedName>
    <definedName name="rel_prof">#REF!</definedName>
    <definedName name="report_academic">#REF!</definedName>
    <definedName name="report_incident">#REF!</definedName>
    <definedName name="report_protect">#REF!</definedName>
    <definedName name="report_resolve">#REF!</definedName>
    <definedName name="report_retaliate">#REF!</definedName>
    <definedName name="report_seriously">#REF!</definedName>
    <definedName name="residence">#REF!</definedName>
    <definedName name="respondent_abusive">#REF!</definedName>
    <definedName name="respondent_authority">#REF!</definedName>
    <definedName name="respondent_blame">#REF!</definedName>
    <definedName name="respondent_consent">#REF!</definedName>
    <definedName name="respondent_decide">#REF!</definedName>
    <definedName name="respondent_help">#REF!</definedName>
    <definedName name="respondent_joke">#REF!</definedName>
    <definedName name="respondent_passed_out">#REF!</definedName>
    <definedName name="respondent_report">#REF!</definedName>
    <definedName name="respondent_upset">#REF!</definedName>
    <definedName name="response_believed">#REF!</definedName>
    <definedName name="response_blamed">#REF!</definedName>
    <definedName name="response_doubted">#REF!</definedName>
    <definedName name="response_excused">#REF!</definedName>
    <definedName name="response_forget">#REF!</definedName>
    <definedName name="response_gather_info">#REF!</definedName>
    <definedName name="response_rate">#REF!</definedName>
    <definedName name="response_supported">#REF!</definedName>
    <definedName name="response_sympathetic">#REF!</definedName>
    <definedName name="sample_size">#REF!</definedName>
    <definedName name="seek_services">#REF!</definedName>
    <definedName name="sexual_orientation">#REF!</definedName>
    <definedName name="size">#REF!</definedName>
    <definedName name="stalk_harass_group_var_sum">#REF!</definedName>
    <definedName name="stalk_harass_rel_group_var_sum">#REF!</definedName>
    <definedName name="sv_barrier_group_var_sum">#REF!</definedName>
    <definedName name="sv_fondle">#REF!</definedName>
    <definedName name="sv_oral">#REF!</definedName>
    <definedName name="sv_oral_try">#REF!</definedName>
    <definedName name="sv_penetrate">#REF!</definedName>
    <definedName name="sv_penetrate_try">#REF!</definedName>
    <definedName name="sv_prior">#REF!</definedName>
    <definedName name="sv_prob">#REF!</definedName>
    <definedName name="sv_rel_group_var_sum">#REF!</definedName>
    <definedName name="sv_response_group_var_sum">#REF!</definedName>
    <definedName name="sv_tell_group_var_sum">#REF!</definedName>
    <definedName name="tell_advocate">#REF!</definedName>
    <definedName name="tell_family">#REF!</definedName>
    <definedName name="tell_friend">#REF!</definedName>
    <definedName name="tell_no_one">#REF!</definedName>
    <definedName name="tell_other">#REF!</definedName>
    <definedName name="tell_other_write">#REF!</definedName>
    <definedName name="tell_partner">#REF!</definedName>
    <definedName name="tell_police">#REF!</definedName>
    <definedName name="tell_prof">#REF!</definedName>
    <definedName name="tell_reshall_staff">#REF!</definedName>
    <definedName name="total">#REF!</definedName>
    <definedName name="train_athletics">#REF!</definedName>
    <definedName name="train_bystander">#REF!</definedName>
    <definedName name="train_class">#REF!</definedName>
    <definedName name="train_definition">#REF!</definedName>
    <definedName name="train_events">#REF!</definedName>
    <definedName name="train_greek">#REF!</definedName>
    <definedName name="train_investigation">#REF!</definedName>
    <definedName name="train_leadership">#REF!</definedName>
    <definedName name="train_norecall">#REF!</definedName>
    <definedName name="train_orientation">#REF!</definedName>
    <definedName name="train_other">#REF!</definedName>
    <definedName name="train_other_write">#REF!</definedName>
    <definedName name="train_prevention">#REF!</definedName>
    <definedName name="train_reporting">#REF!</definedName>
    <definedName name="train_reslife">#REF!</definedName>
    <definedName name="train_var_sum">#REF!</definedName>
    <definedName name="training">#REF!</definedName>
    <definedName name="type">#REF!</definedName>
    <definedName name="var10O653Othr">#REF!</definedName>
    <definedName name="var219O655">#REF!</definedName>
    <definedName name="var337_">#REF!</definedName>
    <definedName name="var3O656Othr">#REF!</definedName>
    <definedName name="verbal_harass_var_sum">#REF!</definedName>
    <definedName name="volunteer">#REF!</definedName>
    <definedName name="Vrid">#REF!</definedName>
    <definedName name="Vstatus">#REF!</definedName>
    <definedName name="white">#REF!</definedName>
  </definedNames>
  <calcPr calcId="145621"/>
</workbook>
</file>

<file path=xl/calcChain.xml><?xml version="1.0" encoding="utf-8"?>
<calcChain xmlns="http://schemas.openxmlformats.org/spreadsheetml/2006/main">
  <c r="D20" i="21" l="1"/>
  <c r="D27" i="54" l="1"/>
  <c r="AF77" i="62"/>
  <c r="AB77" i="62"/>
  <c r="X77" i="62"/>
  <c r="AF76" i="62"/>
  <c r="AB76" i="62"/>
  <c r="X76" i="62"/>
  <c r="AF75" i="62"/>
  <c r="AB75" i="62"/>
  <c r="X75" i="62"/>
  <c r="AF74" i="62"/>
  <c r="AF78" i="62" s="1"/>
  <c r="AB74" i="62"/>
  <c r="X74" i="62"/>
  <c r="P71" i="62"/>
  <c r="O71" i="62"/>
  <c r="W63" i="62"/>
  <c r="W12" i="62" s="1"/>
  <c r="V63" i="62"/>
  <c r="V12" i="62" s="1"/>
  <c r="S63" i="62"/>
  <c r="S12" i="62" s="1"/>
  <c r="W62" i="62"/>
  <c r="W13" i="62" s="1"/>
  <c r="V62" i="62"/>
  <c r="V13" i="62" s="1"/>
  <c r="S62" i="62"/>
  <c r="S13" i="62" s="1"/>
  <c r="W61" i="62"/>
  <c r="W9" i="62" s="1"/>
  <c r="V61" i="62"/>
  <c r="V9" i="62" s="1"/>
  <c r="S61" i="62"/>
  <c r="S9" i="62" s="1"/>
  <c r="W60" i="62"/>
  <c r="W6" i="62" s="1"/>
  <c r="V60" i="62"/>
  <c r="V6" i="62" s="1"/>
  <c r="S60" i="62"/>
  <c r="S6" i="62" s="1"/>
  <c r="W59" i="62"/>
  <c r="W7" i="62" s="1"/>
  <c r="V59" i="62"/>
  <c r="V7" i="62" s="1"/>
  <c r="S59" i="62"/>
  <c r="S7" i="62" s="1"/>
  <c r="W58" i="62"/>
  <c r="W15" i="62" s="1"/>
  <c r="V58" i="62"/>
  <c r="V15" i="62" s="1"/>
  <c r="S58" i="62"/>
  <c r="S15" i="62" s="1"/>
  <c r="W57" i="62"/>
  <c r="W14" i="62" s="1"/>
  <c r="V57" i="62"/>
  <c r="V14" i="62" s="1"/>
  <c r="S57" i="62"/>
  <c r="S14" i="62" s="1"/>
  <c r="W56" i="62"/>
  <c r="W8" i="62" s="1"/>
  <c r="V56" i="62"/>
  <c r="V8" i="62" s="1"/>
  <c r="S56" i="62"/>
  <c r="S8" i="62" s="1"/>
  <c r="W55" i="62"/>
  <c r="W10" i="62" s="1"/>
  <c r="V55" i="62"/>
  <c r="V10" i="62" s="1"/>
  <c r="S55" i="62"/>
  <c r="S10" i="62" s="1"/>
  <c r="W54" i="62"/>
  <c r="W11" i="62" s="1"/>
  <c r="V54" i="62"/>
  <c r="V11" i="62" s="1"/>
  <c r="S54" i="62"/>
  <c r="S11" i="62" s="1"/>
  <c r="W49" i="62"/>
  <c r="V49" i="62"/>
  <c r="S49" i="62"/>
  <c r="W48" i="62"/>
  <c r="V48" i="62"/>
  <c r="S48" i="62"/>
  <c r="W47" i="62"/>
  <c r="V47" i="62"/>
  <c r="S47" i="62"/>
  <c r="W46" i="62"/>
  <c r="V46" i="62"/>
  <c r="S46" i="62"/>
  <c r="W45" i="62"/>
  <c r="V45" i="62"/>
  <c r="S45" i="62"/>
  <c r="W44" i="62"/>
  <c r="V44" i="62"/>
  <c r="S44" i="62"/>
  <c r="W43" i="62"/>
  <c r="V43" i="62"/>
  <c r="S43" i="62"/>
  <c r="W42" i="62"/>
  <c r="V42" i="62"/>
  <c r="S42" i="62"/>
  <c r="W41" i="62"/>
  <c r="V41" i="62"/>
  <c r="S41" i="62"/>
  <c r="W40" i="62"/>
  <c r="V40" i="62"/>
  <c r="S40" i="62"/>
  <c r="W34" i="62"/>
  <c r="V34" i="62"/>
  <c r="S34" i="62"/>
  <c r="W33" i="62"/>
  <c r="V33" i="62"/>
  <c r="S33" i="62"/>
  <c r="W32" i="62"/>
  <c r="V32" i="62"/>
  <c r="S32" i="62"/>
  <c r="W31" i="62"/>
  <c r="V31" i="62"/>
  <c r="S31" i="62"/>
  <c r="W30" i="62"/>
  <c r="V30" i="62"/>
  <c r="S30" i="62"/>
  <c r="W29" i="62"/>
  <c r="V29" i="62"/>
  <c r="S29" i="62"/>
  <c r="W28" i="62"/>
  <c r="V28" i="62"/>
  <c r="S28" i="62"/>
  <c r="W27" i="62"/>
  <c r="V27" i="62"/>
  <c r="S27" i="62"/>
  <c r="W26" i="62"/>
  <c r="V26" i="62"/>
  <c r="S26" i="62"/>
  <c r="W25" i="62"/>
  <c r="V25" i="62"/>
  <c r="S25" i="62"/>
  <c r="O4" i="62"/>
  <c r="P4" i="62" s="1"/>
  <c r="X7" i="62" l="1"/>
  <c r="P7" i="62" s="1"/>
  <c r="O7" i="62"/>
  <c r="X12" i="62"/>
  <c r="P12" i="62" s="1"/>
  <c r="P77" i="62"/>
  <c r="W77" i="62" s="1"/>
  <c r="X14" i="62"/>
  <c r="P14" i="62" s="1"/>
  <c r="X9" i="62"/>
  <c r="P9" i="62" s="1"/>
  <c r="AB78" i="62"/>
  <c r="X8" i="62"/>
  <c r="P8" i="62" s="1"/>
  <c r="X6" i="62"/>
  <c r="O6" i="62" s="1"/>
  <c r="X10" i="62"/>
  <c r="O10" i="62" s="1"/>
  <c r="X11" i="62"/>
  <c r="P11" i="62" s="1"/>
  <c r="X15" i="62"/>
  <c r="P15" i="62" s="1"/>
  <c r="X13" i="62"/>
  <c r="O13" i="62" s="1"/>
  <c r="X78" i="62"/>
  <c r="O14" i="62"/>
  <c r="AE76" i="62"/>
  <c r="AE75" i="62"/>
  <c r="W74" i="62"/>
  <c r="AA75" i="62"/>
  <c r="P75" i="62"/>
  <c r="O75" i="62" s="1"/>
  <c r="P73" i="62"/>
  <c r="P74" i="62"/>
  <c r="O74" i="62" s="1"/>
  <c r="P76" i="62"/>
  <c r="AA74" i="62"/>
  <c r="AE77" i="62" l="1"/>
  <c r="W76" i="62"/>
  <c r="O76" i="62"/>
  <c r="AA77" i="62"/>
  <c r="AE74" i="62"/>
  <c r="E43" i="62"/>
  <c r="O15" i="62"/>
  <c r="O11" i="62"/>
  <c r="P10" i="62"/>
  <c r="P6" i="62"/>
  <c r="O9" i="62"/>
  <c r="P13" i="62"/>
  <c r="O73" i="62"/>
  <c r="AA76" i="62"/>
  <c r="W75" i="62"/>
  <c r="O8" i="62"/>
  <c r="O12" i="62"/>
  <c r="T17" i="62"/>
  <c r="G4" i="62" s="1"/>
  <c r="Q33" i="53"/>
  <c r="Q36" i="53" s="1"/>
  <c r="P38" i="53" s="1"/>
  <c r="D27" i="53" l="1"/>
  <c r="D28" i="53"/>
  <c r="D26" i="53"/>
  <c r="F26" i="32"/>
  <c r="F27" i="32"/>
  <c r="F28" i="32"/>
  <c r="F29" i="32"/>
  <c r="F30" i="32"/>
  <c r="K27" i="32"/>
  <c r="K28" i="32"/>
  <c r="K29" i="32"/>
  <c r="K30" i="32"/>
  <c r="K26" i="32"/>
  <c r="C15" i="27" l="1"/>
  <c r="C16" i="27"/>
  <c r="C17" i="27"/>
  <c r="C18" i="27"/>
  <c r="C19" i="27"/>
  <c r="L9" i="34" l="1"/>
  <c r="L10" i="34"/>
  <c r="L8" i="34"/>
  <c r="G9" i="34"/>
  <c r="G10" i="34"/>
  <c r="G8" i="34"/>
  <c r="P16" i="53" l="1"/>
  <c r="O16" i="53"/>
  <c r="P15" i="53"/>
  <c r="O15" i="53"/>
  <c r="P14" i="53"/>
  <c r="O14" i="53"/>
  <c r="P13" i="53"/>
  <c r="O13" i="53"/>
  <c r="T15" i="53"/>
  <c r="S13" i="53"/>
  <c r="T13" i="53"/>
  <c r="S14" i="53"/>
  <c r="R14" i="53" s="1"/>
  <c r="T14" i="53"/>
  <c r="S15" i="53"/>
  <c r="S16" i="53"/>
  <c r="T16" i="53"/>
  <c r="Q14" i="53" l="1"/>
  <c r="Q13" i="53"/>
  <c r="R15" i="53"/>
  <c r="R13" i="53"/>
  <c r="Q15" i="53"/>
  <c r="R16" i="53"/>
  <c r="Q16" i="53"/>
  <c r="H28" i="55" l="1"/>
  <c r="N10" i="34" l="1"/>
  <c r="I9" i="34"/>
  <c r="I8" i="34"/>
  <c r="I10" i="34" l="1"/>
  <c r="M26" i="32"/>
  <c r="H30" i="32"/>
  <c r="H28" i="32"/>
  <c r="H26" i="32"/>
  <c r="L29" i="32" l="1"/>
  <c r="M28" i="32"/>
  <c r="L30" i="32"/>
  <c r="H27" i="32"/>
  <c r="H29" i="32"/>
  <c r="L27" i="32"/>
  <c r="L26" i="32"/>
  <c r="L28" i="32"/>
  <c r="M27" i="32"/>
  <c r="M30" i="32"/>
  <c r="M29" i="32"/>
  <c r="G30" i="32"/>
  <c r="G29" i="32" l="1"/>
  <c r="G28" i="32"/>
  <c r="G26" i="32"/>
  <c r="G27" i="32"/>
  <c r="C24" i="54" l="1"/>
  <c r="C25" i="54"/>
  <c r="C23" i="54"/>
  <c r="D29" i="53" l="1"/>
  <c r="G11" i="34" l="1"/>
  <c r="P20" i="53" l="1"/>
  <c r="O20" i="53" l="1"/>
  <c r="E26" i="53" s="1"/>
  <c r="F26" i="53"/>
  <c r="D27" i="55"/>
  <c r="D28" i="55"/>
  <c r="D29" i="55"/>
  <c r="D30" i="55"/>
  <c r="D35" i="55"/>
  <c r="D36" i="55"/>
  <c r="D37" i="55"/>
  <c r="E36" i="55"/>
  <c r="E27" i="55" l="1"/>
  <c r="D38" i="55"/>
  <c r="E37" i="55"/>
  <c r="E35" i="55"/>
  <c r="E29" i="55" l="1"/>
  <c r="E28" i="55"/>
  <c r="D25" i="54"/>
  <c r="D23" i="54" l="1"/>
  <c r="D24" i="54"/>
  <c r="E20" i="54"/>
  <c r="P33" i="53"/>
  <c r="O33" i="53" s="1"/>
  <c r="P22" i="53"/>
  <c r="P25" i="53"/>
  <c r="O25" i="53" s="1"/>
  <c r="P24" i="53"/>
  <c r="O24" i="53" s="1"/>
  <c r="P26" i="53"/>
  <c r="O26" i="53" s="1"/>
  <c r="P27" i="53"/>
  <c r="O27" i="53" s="1"/>
  <c r="P21" i="53"/>
  <c r="P23" i="53"/>
  <c r="O23" i="53" s="1"/>
  <c r="D26" i="54" l="1"/>
  <c r="O22" i="53"/>
  <c r="E28" i="53" s="1"/>
  <c r="F28" i="53"/>
  <c r="O21" i="53"/>
  <c r="E27" i="53" s="1"/>
  <c r="F27" i="53"/>
  <c r="T17" i="53"/>
  <c r="S17" i="53"/>
  <c r="U17" i="53" l="1"/>
  <c r="H25" i="53" s="1"/>
  <c r="L17" i="21" l="1"/>
  <c r="H30" i="34" l="1"/>
  <c r="D30" i="34" l="1"/>
  <c r="L11" i="34"/>
  <c r="M10" i="34"/>
  <c r="N8" i="34"/>
  <c r="H8" i="34"/>
  <c r="H9" i="34"/>
  <c r="Q13" i="33"/>
  <c r="R13" i="33" s="1"/>
  <c r="H10" i="34" l="1"/>
  <c r="R17" i="33"/>
  <c r="R15" i="33"/>
  <c r="R16" i="33"/>
  <c r="G17" i="26"/>
  <c r="M9" i="34"/>
  <c r="N9" i="34"/>
  <c r="D20" i="27"/>
  <c r="G21" i="32"/>
  <c r="G36" i="27"/>
  <c r="M8" i="34"/>
  <c r="K31" i="32"/>
  <c r="F31" i="32"/>
  <c r="P2" i="27"/>
  <c r="Q2" i="27" s="1"/>
  <c r="Q3" i="27" l="1"/>
  <c r="Q5" i="27"/>
  <c r="Q4" i="27"/>
  <c r="M19" i="33"/>
  <c r="R18" i="33"/>
  <c r="G30" i="26"/>
  <c r="D15" i="27"/>
  <c r="D19" i="27"/>
  <c r="D22" i="26"/>
  <c r="D18" i="27" l="1"/>
  <c r="D16" i="27"/>
  <c r="D17" i="27"/>
  <c r="D18" i="26"/>
  <c r="Q16" i="33"/>
  <c r="F20" i="33"/>
  <c r="D20" i="26"/>
  <c r="D19" i="26"/>
  <c r="Q17" i="33"/>
  <c r="Q15" i="33"/>
  <c r="F36" i="21"/>
  <c r="D21" i="26" l="1"/>
  <c r="D16" i="21"/>
  <c r="D19" i="21"/>
  <c r="F17" i="21" l="1"/>
  <c r="Q6" i="27"/>
  <c r="P3" i="27" l="1"/>
  <c r="H4" i="27"/>
  <c r="P5" i="27"/>
  <c r="P4" i="27"/>
  <c r="D17" i="21"/>
</calcChain>
</file>

<file path=xl/sharedStrings.xml><?xml version="1.0" encoding="utf-8"?>
<sst xmlns="http://schemas.openxmlformats.org/spreadsheetml/2006/main" count="712" uniqueCount="324">
  <si>
    <t>Other</t>
  </si>
  <si>
    <t>Student Affairs Forum</t>
  </si>
  <si>
    <t>Unsure</t>
  </si>
  <si>
    <t>Someone sexually penetrated me</t>
  </si>
  <si>
    <t>Someone TRIED to sexually penetrate me</t>
  </si>
  <si>
    <t>Someone fondled, kissed, or rubbed up against the private areas of my body or removed some of my clothes</t>
  </si>
  <si>
    <t>Percent</t>
  </si>
  <si>
    <t>First year student</t>
  </si>
  <si>
    <t>Second year student</t>
  </si>
  <si>
    <t>Third year student</t>
  </si>
  <si>
    <t>Fourth year student</t>
  </si>
  <si>
    <t>Fifth year (or higher) student</t>
  </si>
  <si>
    <t>Graduate or professional student</t>
  </si>
  <si>
    <t>Heterosexual</t>
  </si>
  <si>
    <t>Female</t>
  </si>
  <si>
    <t>White/Caucasian</t>
  </si>
  <si>
    <t>Residence hall</t>
  </si>
  <si>
    <t>Yes</t>
  </si>
  <si>
    <t>No</t>
  </si>
  <si>
    <t>Residence</t>
  </si>
  <si>
    <t>Participation in Student Groups</t>
  </si>
  <si>
    <t>Black or African American</t>
  </si>
  <si>
    <t>Asian</t>
  </si>
  <si>
    <t>American Indian/Alaska Native</t>
  </si>
  <si>
    <t>Native Hawaiian/Other Pacific Islander</t>
  </si>
  <si>
    <t>Hispanic or Latino</t>
  </si>
  <si>
    <t>Race</t>
  </si>
  <si>
    <t>Male</t>
  </si>
  <si>
    <t>Sexual Orientation</t>
  </si>
  <si>
    <t>Gay</t>
  </si>
  <si>
    <t>Strongly Agree/Agree</t>
  </si>
  <si>
    <t>Perceptions of Campus Climate</t>
  </si>
  <si>
    <t>I think faculty are genuinely concerned about my welfare.</t>
  </si>
  <si>
    <t>I think administrators are genuinely concerned about my welfare.</t>
  </si>
  <si>
    <t>If someone were to report an incident of sexual violence to a campus authority:</t>
  </si>
  <si>
    <t>The educational achievement/career of the person making the report would suffer.</t>
  </si>
  <si>
    <t>The accused or their friends would retaliate against the person making the report.</t>
  </si>
  <si>
    <t>The school would take steps to protect the person making the report from retaliation.</t>
  </si>
  <si>
    <t>The school would take the report seriously.</t>
  </si>
  <si>
    <t>Has anyone done the following to you since the beginning of the school year?</t>
  </si>
  <si>
    <t>Said crude, sexual things to you</t>
  </si>
  <si>
    <t>Seemed to be bribing you if you agreed to engage in a romantic or sexual relationship</t>
  </si>
  <si>
    <t>Emailed, texted, or used social media to send offensive content</t>
  </si>
  <si>
    <t>I do not recall</t>
  </si>
  <si>
    <t>Since the beginning of the school year, have you received sexual violence prevention information or training?</t>
  </si>
  <si>
    <t>The definition of sexual violence</t>
  </si>
  <si>
    <t>The school's procedures for investigating an incident of sexual violence</t>
  </si>
  <si>
    <t>Reporting an incident of sexual violence</t>
  </si>
  <si>
    <t>Bystander intervention</t>
  </si>
  <si>
    <t>Sexual violence prevention strategies (e.g., asking for consent, responsible alcohol use)</t>
  </si>
  <si>
    <t>Percent of students who agreed/strongly agreed that the training was useful in increasing their knowledge of…</t>
  </si>
  <si>
    <t>If a friend or I experienced sexual violence, I would know where to go to get help.</t>
  </si>
  <si>
    <t>I am confident my school would administer the formal procedures to fairly address reports of sexual violence.</t>
  </si>
  <si>
    <t>Percent of students who agreed/strongly agreed with the following statements…</t>
  </si>
  <si>
    <t>Since the beginning of the school year, have you had any of the following experiences…</t>
  </si>
  <si>
    <t>Has anyone had or attempted to have unwanted sexual contact with you prior to you going to college?</t>
  </si>
  <si>
    <t>Did the person(s) who did one or more of the behaviors listed above do them by…</t>
  </si>
  <si>
    <t>Showing displeasure, criticizing your sexuality or attractiveness, or getting angry?</t>
  </si>
  <si>
    <t>Threatening you with being outed?</t>
  </si>
  <si>
    <t>Using force or having a weapon?</t>
  </si>
  <si>
    <t>Friend</t>
  </si>
  <si>
    <t>Current romantic partner or spouse</t>
  </si>
  <si>
    <t>No. 1</t>
  </si>
  <si>
    <t>No. 2</t>
  </si>
  <si>
    <t>No. 3</t>
  </si>
  <si>
    <t>What is/was your relationship with the person who conducted this unwanted behavior?</t>
  </si>
  <si>
    <t>Acquaintance or peer</t>
  </si>
  <si>
    <t>Ex-romantic partner or spouse</t>
  </si>
  <si>
    <t>Family member</t>
  </si>
  <si>
    <t>No prior relationship</t>
  </si>
  <si>
    <t>Where did the incident occur?</t>
  </si>
  <si>
    <t>Off-campus residence</t>
  </si>
  <si>
    <t>Bar, night club, dance club</t>
  </si>
  <si>
    <t>Perpetrator Behavior, Relationship, and Location of the Incident</t>
  </si>
  <si>
    <t>Reporting an Incident of Unwanted Sexual Contact</t>
  </si>
  <si>
    <t>Who did you tell about the incident?</t>
  </si>
  <si>
    <t>Roommate/friend/classmate</t>
  </si>
  <si>
    <t>Police</t>
  </si>
  <si>
    <t>Residence hall staff</t>
  </si>
  <si>
    <t>Campus sexual violence advocate/counselor</t>
  </si>
  <si>
    <t>Romantic partner</t>
  </si>
  <si>
    <t>No one</t>
  </si>
  <si>
    <t>What kind of responses did you receive from those you told or reported to?</t>
  </si>
  <si>
    <t>Responded in a way that made you feel supported</t>
  </si>
  <si>
    <t>Doubted you, asked questions to determine if it really happened, or refused to believe you</t>
  </si>
  <si>
    <t>Helped you gather information or find resources or services</t>
  </si>
  <si>
    <t>Blamed you for the assault, or said you could have done something to prevent it, or asked why you didn't do something to prevent it</t>
  </si>
  <si>
    <t>Did you use the school's formal procedures to report the incident(s)?</t>
  </si>
  <si>
    <t>What thoughts or concerns crossed your mind when you were deciding whether to report your experience?</t>
  </si>
  <si>
    <t>Didn't know I should tell</t>
  </si>
  <si>
    <t>Didn't want anyone to know the other things I was doing at the time (e.g., drinking
underage, using drugs)</t>
  </si>
  <si>
    <t>Felt ashamed or embarrassed, didn't want anyone to know what happened</t>
  </si>
  <si>
    <t>Wasn't clear that the offender intended harm</t>
  </si>
  <si>
    <t>Lack of proof that the incident happened</t>
  </si>
  <si>
    <t>Feared others would harass me or react negatively toward me</t>
  </si>
  <si>
    <t>Wanted to forget it happened</t>
  </si>
  <si>
    <t>Community Attitudes</t>
  </si>
  <si>
    <t>It is not necessary to get consent before sexual activity if you are in a relationship with that person.</t>
  </si>
  <si>
    <t>Sexual violence and rape happen because people put themselves in bad situations.</t>
  </si>
  <si>
    <t>A lot of times, women who say they were raped agreed to have sex and then regretted it afterward.</t>
  </si>
  <si>
    <t>A person who is sexually assaulted or raped while she or he is drunk is at least somewhat responsible for putting themselves in that position.</t>
  </si>
  <si>
    <t>Sexual violence and rape happen because men can get carried away in sexual situations once they've started.</t>
  </si>
  <si>
    <t>If a woman hooks up with a lot of men, eventually she is going to get into trouble.</t>
  </si>
  <si>
    <t>Rape and sexual violence can happen unintentionally, especially if alcohol is involved.</t>
  </si>
  <si>
    <t>Made excuses for the person who did this to you</t>
  </si>
  <si>
    <t>When someone is raped or sexually assaulted, its often because the way they said no was unclear or there was some miscommunication.</t>
  </si>
  <si>
    <t>Agreed/
Strongly Agreed</t>
  </si>
  <si>
    <t>All Years</t>
  </si>
  <si>
    <t>First Year</t>
  </si>
  <si>
    <t>Second Year</t>
  </si>
  <si>
    <t>Third Year</t>
  </si>
  <si>
    <t>Fourth Year</t>
  </si>
  <si>
    <t>Fifth Year or Higher</t>
  </si>
  <si>
    <t>Graduate or Professional Student</t>
  </si>
  <si>
    <t>All Students</t>
  </si>
  <si>
    <t>Class Standing</t>
  </si>
  <si>
    <t>N</t>
  </si>
  <si>
    <t>Count</t>
  </si>
  <si>
    <t>Gender</t>
  </si>
  <si>
    <t>Bisexual</t>
  </si>
  <si>
    <t>Made sexist remarks or jokes in your presence</t>
  </si>
  <si>
    <t>Avg. n=</t>
  </si>
  <si>
    <t>n=</t>
  </si>
  <si>
    <t>n</t>
  </si>
  <si>
    <t>Data validation list</t>
  </si>
  <si>
    <t>Vlookup range</t>
  </si>
  <si>
    <t>Unsure count</t>
  </si>
  <si>
    <t>%</t>
  </si>
  <si>
    <t>Yes once count</t>
  </si>
  <si>
    <t>Yes, more than once count</t>
  </si>
  <si>
    <t>Yes, one or more times count</t>
  </si>
  <si>
    <t>Yes Count</t>
  </si>
  <si>
    <t>Unsure Count</t>
  </si>
  <si>
    <t xml:space="preserve">Unsure </t>
  </si>
  <si>
    <t xml:space="preserve">All Students </t>
  </si>
  <si>
    <t>Percent of respondents who agreed/strongly agreed with the following statements</t>
  </si>
  <si>
    <t>Agreed/Strongly Agreed Count</t>
  </si>
  <si>
    <t>Data Validation List</t>
  </si>
  <si>
    <t>An incident can only be sexual assault or rape if the person says "no."</t>
  </si>
  <si>
    <t>EAB Campus Climate Survey Methods</t>
  </si>
  <si>
    <t>Introduction to the EAB Campus Climate Survey Report</t>
  </si>
  <si>
    <t xml:space="preserve"> Survey Respondent Demographics</t>
  </si>
  <si>
    <t>It shouldn't be considered rape if a man is drunk and didn't realize what he was doing.</t>
  </si>
  <si>
    <t>Disagree/Strongly Disagree Count</t>
  </si>
  <si>
    <t>Told you to not talk about it, to move on, or to focus on other things</t>
  </si>
  <si>
    <t>Campus Climate and Harassment</t>
  </si>
  <si>
    <t>Sexual Violence Prevention Training and Student Knowledge</t>
  </si>
  <si>
    <t xml:space="preserve">Community Behaviors </t>
  </si>
  <si>
    <t>It's definitely a problem</t>
  </si>
  <si>
    <t>It's somewhat of a problem</t>
  </si>
  <si>
    <t>It's not really a problem</t>
  </si>
  <si>
    <t>I don't know</t>
  </si>
  <si>
    <t xml:space="preserve">Percent of respondents who rate themselves as likely/very likely to engage in the following behaviors compared to their peers </t>
  </si>
  <si>
    <t>Peers</t>
  </si>
  <si>
    <t>Self</t>
  </si>
  <si>
    <t>How much of a problem is sexual violence at your school?</t>
  </si>
  <si>
    <t>Top 3 most common bystander behaviors</t>
  </si>
  <si>
    <t>Avg n</t>
  </si>
  <si>
    <t>In response to this situation:</t>
  </si>
  <si>
    <t>Percent of respondents who have experienced intimate partner violence (n=150)</t>
  </si>
  <si>
    <t>What happened after the incident?</t>
  </si>
  <si>
    <t>Sought services or contacted a hotline</t>
  </si>
  <si>
    <t>Physically injured</t>
  </si>
  <si>
    <t>Percent of respondents who felt concerned for their safety (n=48)</t>
  </si>
  <si>
    <t>Not at all</t>
  </si>
  <si>
    <t>Only a little</t>
  </si>
  <si>
    <t>Somewhat</t>
  </si>
  <si>
    <t>Extremely</t>
  </si>
  <si>
    <t>Percent of respondents who say that the school's formal procedures did the following (n=20)</t>
  </si>
  <si>
    <t>Completely resolved the issue</t>
  </si>
  <si>
    <t>Helped a lot</t>
  </si>
  <si>
    <t>Helped, but could have helped more</t>
  </si>
  <si>
    <t>Helped a little</t>
  </si>
  <si>
    <t>Didn't help at all</t>
  </si>
  <si>
    <t xml:space="preserve">None of the above </t>
  </si>
  <si>
    <t>Repeatedly asking you on dates, to go to dinner, or get a drink even after you've said no</t>
  </si>
  <si>
    <t>Has anyone frightened, concerned, angered, or annoyed you by…</t>
  </si>
  <si>
    <t>Top 3 people who respondents told about the incident</t>
  </si>
  <si>
    <t xml:space="preserve">Top 3 most common relationships  to the perpetrator </t>
  </si>
  <si>
    <t>Campus sexual assault advocate/counselor</t>
  </si>
  <si>
    <t xml:space="preserve">Top 3 people respondents told about an incident of unwanted sexual contact </t>
  </si>
  <si>
    <t>Top 3 responses the respondent got when they told someone about the incident</t>
  </si>
  <si>
    <t>Demographic Snapshot</t>
  </si>
  <si>
    <t>H/L n=</t>
  </si>
  <si>
    <t>All N</t>
  </si>
  <si>
    <t>Individual N</t>
  </si>
  <si>
    <t>Avg. N=</t>
  </si>
  <si>
    <t>Drop-Down Menu:</t>
  </si>
  <si>
    <t>Yes, one or more times %</t>
  </si>
  <si>
    <t>Unsure %</t>
  </si>
  <si>
    <t>Percent (if Count &gt;15)</t>
  </si>
  <si>
    <t>Drop Down Menu</t>
  </si>
  <si>
    <t>Self n</t>
  </si>
  <si>
    <t>Peer n</t>
  </si>
  <si>
    <t>*=COUNTIF(action_group_var_sum,"&gt;0")</t>
  </si>
  <si>
    <t>Someone TRIED to perform oral sex 
on me or make me give them oral sex</t>
  </si>
  <si>
    <t>Someone performed oral sex on me 
or made me give them oral sex</t>
  </si>
  <si>
    <t>Where did you receive prevention training</t>
  </si>
  <si>
    <t>Sexual Violence Experiences Since the Beginning of the School Year  (Fall 2015)</t>
  </si>
  <si>
    <t>Stalking and Harassment Experiences Since the Beginning of the School Year (Fall 2015)</t>
  </si>
  <si>
    <t>Intimate Partner Violence Since the Beginning of the School Year (Fall 2015)</t>
  </si>
  <si>
    <t>Since the beginning of the current school year (Fall 2015), have you observed a situation that you believed was, or could have led to, a sexual assault?</t>
  </si>
  <si>
    <t>Greek living</t>
  </si>
  <si>
    <t>Off-campus apartment/house</t>
  </si>
  <si>
    <t xml:space="preserve">At home with family </t>
  </si>
  <si>
    <t>Intercollegiate sports team</t>
  </si>
  <si>
    <t>Club sports team</t>
  </si>
  <si>
    <t>Intramural sports team</t>
  </si>
  <si>
    <t>Fraternity or sorority</t>
  </si>
  <si>
    <t>Performing arts group</t>
  </si>
  <si>
    <t>Student government</t>
  </si>
  <si>
    <t>Cultural/religious/spiritual group</t>
  </si>
  <si>
    <t>I do not participate in a student group</t>
  </si>
  <si>
    <t>New student orientation</t>
  </si>
  <si>
    <t>Greek life participation</t>
  </si>
  <si>
    <t>Athletics participation</t>
  </si>
  <si>
    <t>Residence life programs</t>
  </si>
  <si>
    <t>Class presentations or projects</t>
  </si>
  <si>
    <t>Campus-wide events</t>
  </si>
  <si>
    <t>Student leadership training</t>
  </si>
  <si>
    <t>No. 4</t>
  </si>
  <si>
    <t>No. 5</t>
  </si>
  <si>
    <t xml:space="preserve">Current romantic partner or spouse </t>
  </si>
  <si>
    <t>Faculty or staff member</t>
  </si>
  <si>
    <t xml:space="preserve">Other </t>
  </si>
  <si>
    <t xml:space="preserve">Fraternity </t>
  </si>
  <si>
    <t>Sorority</t>
  </si>
  <si>
    <t>Other on-campus location</t>
  </si>
  <si>
    <t>Other off-campus location</t>
  </si>
  <si>
    <t>Location of the incident</t>
  </si>
  <si>
    <t>Relationship to the perpetrator</t>
  </si>
  <si>
    <t xml:space="preserve">Residence hall staff </t>
  </si>
  <si>
    <t>Validated and believed your experience</t>
  </si>
  <si>
    <t>Listened sympathetically without criticizing or blaming you</t>
  </si>
  <si>
    <t>Sending unwanted e-mails or other forms of written correspondence or communication</t>
  </si>
  <si>
    <t>Posting offensive or abusive comments on your social media profile(s), blog, or other online space</t>
  </si>
  <si>
    <t>Showing up at places where you were even though he or she had no business being there</t>
  </si>
  <si>
    <t>Exposing personal information or spreading rumors about you on the Internet, in a public place, or by word of mouth</t>
  </si>
  <si>
    <t>Threatening in an online environment to physically harm you</t>
  </si>
  <si>
    <t>Catching you off guard or ignoring 
non-verbal cues or looks?</t>
  </si>
  <si>
    <t>Taking advantage when you were incapacitated
 (e.g., too drunk, high, asleep, or out of it)?</t>
  </si>
  <si>
    <t>Telling lies, threatening to end a relationship 
or to spread rumors about you, 
or verbally pressuring you?</t>
  </si>
  <si>
    <t>Threatening to physically harm you or 
someone close to you?</t>
  </si>
  <si>
    <t>I understand my school's formal procedures to address 
complaints of sexual violence.</t>
  </si>
  <si>
    <t>I know what confidential resources 
(e.g., victim advocacy, counseling) 
are available to me to report an 
incident of sexual violence.</t>
  </si>
  <si>
    <t>Didn't want to get the offender in trouble 
(e.g., disciplinary action, arrest)</t>
  </si>
  <si>
    <t>Feared that I would not be believed 
or taken seriously</t>
  </si>
  <si>
    <t>Making unwanted phone calls to you 
or leaving messages</t>
  </si>
  <si>
    <t>Sharing personal photos of you 
without your permission</t>
  </si>
  <si>
    <t>On-campus residence</t>
  </si>
  <si>
    <t>Express discomfort if someone says that sexual assault victims are to blame for being assaulted</t>
  </si>
  <si>
    <t>Confront a friend who says that they had sex with someone who was passed out or didn't give consent</t>
  </si>
  <si>
    <t>Ask someone who looks very upset at a party if they are ok or need help</t>
  </si>
  <si>
    <t>Decide not to have sex with someone if they are drunk</t>
  </si>
  <si>
    <t>Number of unique respondents experiencing sexual misconduct</t>
  </si>
  <si>
    <t>Agree Count</t>
  </si>
  <si>
    <t>Strongly Agree Count</t>
  </si>
  <si>
    <t>Disagree Count</t>
  </si>
  <si>
    <t>Strongly Disagree Count</t>
  </si>
  <si>
    <t>Class Count</t>
  </si>
  <si>
    <t>Social Count</t>
  </si>
  <si>
    <t>Other Count</t>
  </si>
  <si>
    <t>Incident Count</t>
  </si>
  <si>
    <t>Respondent YES Count</t>
  </si>
  <si>
    <t>Percent of respondents who used the school's formal procedures to report the incident(s)</t>
  </si>
  <si>
    <t>Didn't think it was serious enough to report</t>
  </si>
  <si>
    <t>ALL YEARS</t>
  </si>
  <si>
    <t>FIRST YEAR</t>
  </si>
  <si>
    <t xml:space="preserve">SECOND YEAR </t>
  </si>
  <si>
    <t>THIRD YEAR</t>
  </si>
  <si>
    <t>FOURTH YEAR</t>
  </si>
  <si>
    <t>FIFTH YEAR OR HIGHER</t>
  </si>
  <si>
    <t xml:space="preserve">GRADUATE STUDENT </t>
  </si>
  <si>
    <t>FEMALE</t>
  </si>
  <si>
    <t>MALE</t>
  </si>
  <si>
    <t>ALL STUDENTS</t>
  </si>
  <si>
    <t xml:space="preserve">FEMALE -1 </t>
  </si>
  <si>
    <t>ALL STUDENTS -3</t>
  </si>
  <si>
    <t>EAB Resources</t>
  </si>
  <si>
    <t>,</t>
  </si>
  <si>
    <t>Percent Unsure</t>
  </si>
  <si>
    <t>Percent Agreed/
Strongly Agreed</t>
  </si>
  <si>
    <t xml:space="preserve">MALE - 2 </t>
  </si>
  <si>
    <t>On-campus apartment/house</t>
  </si>
  <si>
    <t>I feel close to people at this school.</t>
  </si>
  <si>
    <t>I feel safe at this school.</t>
  </si>
  <si>
    <t>Emailed, texted, or used social media to send offensive sexual content</t>
  </si>
  <si>
    <t>Said crude sexual things to you</t>
  </si>
  <si>
    <t>Respondents who reported that training was very useful/useful in increasing their knowledge of…</t>
  </si>
  <si>
    <t>I decided not to take action.</t>
  </si>
  <si>
    <t>I told someone in a position of authority about the situation.</t>
  </si>
  <si>
    <t>I considered intervening in the situation, but I could not safely take any action.</t>
  </si>
  <si>
    <t>I created a distraction to cause one or more of the people to disengage from the situation.</t>
  </si>
  <si>
    <t>I confronted the person who appeared to be causing the situation.</t>
  </si>
  <si>
    <t>I asked others to step in as a group and diffuse the situation.</t>
  </si>
  <si>
    <t>I stepped in and separated the people involved in the situation.</t>
  </si>
  <si>
    <t>I asked the person who appeared to be at risk if they needed help.</t>
  </si>
  <si>
    <t>Relationship</t>
  </si>
  <si>
    <t>Number of students invited to take the survey</t>
  </si>
  <si>
    <t>Total number of respondents</t>
  </si>
  <si>
    <t>Total response rate</t>
  </si>
  <si>
    <t>Student Sample and Response Rate</t>
  </si>
  <si>
    <t>Abnormal Response Patterns</t>
  </si>
  <si>
    <t>Survey Timeline</t>
  </si>
  <si>
    <t xml:space="preserve">Spring 2016 Administration </t>
  </si>
  <si>
    <r>
      <t xml:space="preserve">     Number of survey completers
     </t>
    </r>
    <r>
      <rPr>
        <sz val="8"/>
        <color theme="1"/>
        <rFont val="Verdana"/>
        <family val="2"/>
        <scheme val="minor"/>
      </rPr>
      <t>(reached the Thank You page)</t>
    </r>
  </si>
  <si>
    <r>
      <t xml:space="preserve">     Number of partial survey completers 
     </t>
    </r>
    <r>
      <rPr>
        <sz val="8"/>
        <color theme="1"/>
        <rFont val="Verdana"/>
        <family val="2"/>
        <scheme val="minor"/>
      </rPr>
      <t>(answered at least one question, but did not reach the Thank You page)</t>
    </r>
  </si>
  <si>
    <r>
      <t xml:space="preserve">     Number of disqualified respondents 
     </t>
    </r>
    <r>
      <rPr>
        <sz val="8"/>
        <color theme="1"/>
        <rFont val="Verdana"/>
        <family val="2"/>
        <scheme val="minor"/>
      </rPr>
      <t>(did not consent to take the survey)</t>
    </r>
  </si>
  <si>
    <r>
      <t xml:space="preserve">Analytic sample size 
</t>
    </r>
    <r>
      <rPr>
        <sz val="8"/>
        <color theme="1"/>
        <rFont val="Verdana"/>
        <family val="2"/>
        <scheme val="minor"/>
      </rPr>
      <t>(total respondents - disqualified respondents - straight-line respondents)</t>
    </r>
  </si>
  <si>
    <r>
      <t xml:space="preserve">Survey launch date
</t>
    </r>
    <r>
      <rPr>
        <sz val="8"/>
        <color theme="1"/>
        <rFont val="Verdana"/>
        <family val="2"/>
        <scheme val="minor"/>
      </rPr>
      <t>(administrator invited students to take the survey and sent reminder emails)</t>
    </r>
  </si>
  <si>
    <t>Survey close date</t>
  </si>
  <si>
    <t>How much of a problem is sexual misconduct at your school?</t>
  </si>
  <si>
    <r>
      <t xml:space="preserve">Number of identified straight-line respondents 
</t>
    </r>
    <r>
      <rPr>
        <sz val="8"/>
        <color theme="1"/>
        <rFont val="Verdana"/>
        <family val="2"/>
        <scheme val="minor"/>
      </rPr>
      <t>(respondents who answered the same option for multiple survey questions)</t>
    </r>
  </si>
  <si>
    <t>Peers Count</t>
  </si>
  <si>
    <t>Self Count</t>
  </si>
  <si>
    <t>Count No</t>
  </si>
  <si>
    <t>N Value</t>
  </si>
  <si>
    <t>Count Yes</t>
  </si>
  <si>
    <t>*n=</t>
  </si>
  <si>
    <t>Sought medical attention*</t>
  </si>
  <si>
    <t>Metropolitan State University of Denver</t>
  </si>
  <si>
    <t>Sort Order</t>
  </si>
  <si>
    <t>n=1432</t>
  </si>
  <si>
    <t>n=255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</si>
</sst>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
  </numFmts>
  <fonts count="36" x14ac:knownFonts="1">
    <font>
      <sz val="9"/>
      <color theme="1"/>
      <name val="Verdana"/>
      <family val="2"/>
      <scheme val="minor"/>
    </font>
    <font>
      <sz val="11"/>
      <color theme="1"/>
      <name val="Verdana"/>
      <family val="2"/>
      <scheme val="minor"/>
    </font>
    <font>
      <sz val="11"/>
      <color theme="1"/>
      <name val="Verdana"/>
      <family val="2"/>
      <scheme val="minor"/>
    </font>
    <font>
      <sz val="9"/>
      <color theme="1"/>
      <name val="Verdana"/>
      <family val="2"/>
      <scheme val="minor"/>
    </font>
    <font>
      <b/>
      <sz val="9"/>
      <color theme="1"/>
      <name val="Verdana"/>
      <family val="2"/>
      <scheme val="minor"/>
    </font>
    <font>
      <i/>
      <sz val="9"/>
      <color theme="1"/>
      <name val="Verdana"/>
      <family val="2"/>
      <scheme val="minor"/>
    </font>
    <font>
      <b/>
      <sz val="10"/>
      <color theme="1"/>
      <name val="Verdana"/>
      <family val="2"/>
      <scheme val="minor"/>
    </font>
    <font>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b/>
      <sz val="11"/>
      <color theme="0"/>
      <name val="Verdana"/>
      <family val="2"/>
      <scheme val="minor"/>
    </font>
    <font>
      <sz val="12"/>
      <color theme="8"/>
      <name val="Rockwell"/>
      <family val="1"/>
      <scheme val="maj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sz val="9"/>
      <color theme="10"/>
      <name val="Arial"/>
      <family val="2"/>
    </font>
    <font>
      <u/>
      <sz val="9"/>
      <color theme="11"/>
      <name val="Arial"/>
      <family val="2"/>
    </font>
    <font>
      <sz val="10"/>
      <name val="Arial"/>
      <family val="2"/>
    </font>
    <font>
      <u/>
      <sz val="9"/>
      <color theme="10"/>
      <name val="Verdana"/>
      <family val="2"/>
      <scheme val="minor"/>
    </font>
    <font>
      <u/>
      <sz val="9"/>
      <color theme="9"/>
      <name val="Verdana"/>
      <family val="2"/>
      <scheme val="minor"/>
    </font>
    <font>
      <sz val="9"/>
      <color theme="7"/>
      <name val="Verdana"/>
      <family val="2"/>
      <scheme val="minor"/>
    </font>
    <font>
      <b/>
      <sz val="9"/>
      <color theme="7"/>
      <name val="Verdana"/>
      <family val="2"/>
      <scheme val="minor"/>
    </font>
    <font>
      <sz val="11"/>
      <color theme="1"/>
      <name val="Calibri"/>
      <family val="2"/>
    </font>
    <font>
      <sz val="9"/>
      <color rgb="FF4F5861"/>
      <name val="Verdana"/>
      <family val="2"/>
      <scheme val="minor"/>
    </font>
    <font>
      <sz val="9"/>
      <name val="Verdana"/>
      <family val="2"/>
      <scheme val="minor"/>
    </font>
    <font>
      <b/>
      <sz val="9"/>
      <color rgb="FF4F5861"/>
      <name val="Verdana"/>
      <family val="2"/>
      <scheme val="minor"/>
    </font>
    <font>
      <b/>
      <sz val="9"/>
      <color rgb="FFFF0000"/>
      <name val="Verdana"/>
      <family val="2"/>
      <scheme val="minor"/>
    </font>
    <font>
      <sz val="9"/>
      <color theme="0"/>
      <name val="Verdana"/>
      <family val="2"/>
      <scheme val="minor"/>
    </font>
    <font>
      <sz val="11"/>
      <color rgb="FFFF0000"/>
      <name val="Arial"/>
      <family val="2"/>
    </font>
    <font>
      <sz val="8"/>
      <color theme="1"/>
      <name val="Verdana"/>
      <family val="2"/>
      <scheme val="minor"/>
    </font>
    <font>
      <b/>
      <sz val="9"/>
      <color theme="1"/>
      <name val="Verdana"/>
      <scheme val="minor"/>
    </font>
  </fonts>
  <fills count="25">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patternFill patternType="solid">
        <fgColor theme="0"/>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rgb="FFFCC7D0"/>
        <bgColor indexed="64"/>
      </patternFill>
    </fill>
    <fill>
      <patternFill patternType="solid">
        <fgColor theme="9"/>
        <bgColor auto="1"/>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23">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right/>
      <top style="medium">
        <color theme="3"/>
      </top>
      <bottom/>
      <diagonal/>
    </border>
    <border>
      <left/>
      <right style="medium">
        <color auto="1"/>
      </right>
      <top/>
      <bottom/>
      <diagonal/>
    </border>
    <border>
      <left/>
      <right/>
      <top/>
      <bottom style="medium">
        <color theme="3"/>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theme="4"/>
      </left>
      <right/>
      <top style="thin">
        <color theme="4"/>
      </top>
      <bottom/>
      <diagonal/>
    </border>
    <border>
      <left style="thin">
        <color indexed="64"/>
      </left>
      <right/>
      <top/>
      <bottom/>
      <diagonal/>
    </border>
    <border>
      <left/>
      <right/>
      <top/>
      <bottom style="thin">
        <color indexed="64"/>
      </bottom>
      <diagonal/>
    </border>
  </borders>
  <cellStyleXfs count="31">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Border="0" applyAlignment="0" applyProtection="0"/>
    <xf numFmtId="0" fontId="11" fillId="0" borderId="0" applyNumberFormat="0" applyFill="0" applyAlignment="0" applyProtection="0"/>
    <xf numFmtId="0" fontId="6" fillId="0" borderId="0" applyNumberFormat="0" applyFill="0" applyBorder="0" applyAlignment="0" applyProtection="0"/>
    <xf numFmtId="0" fontId="15" fillId="7" borderId="0" applyNumberFormat="0" applyBorder="0" applyAlignment="0" applyProtection="0"/>
    <xf numFmtId="0" fontId="14" fillId="13" borderId="0" applyNumberFormat="0" applyBorder="0" applyAlignment="0" applyProtection="0"/>
    <xf numFmtId="0" fontId="16" fillId="6" borderId="0" applyNumberFormat="0" applyBorder="0" applyAlignment="0" applyProtection="0"/>
    <xf numFmtId="0" fontId="3" fillId="3" borderId="3" applyNumberFormat="0" applyAlignment="0" applyProtection="0"/>
    <xf numFmtId="0" fontId="3" fillId="2" borderId="3" applyNumberFormat="0" applyAlignment="0" applyProtection="0"/>
    <xf numFmtId="0" fontId="3" fillId="0" borderId="3" applyNumberFormat="0" applyAlignment="0" applyProtection="0"/>
    <xf numFmtId="0" fontId="19" fillId="0" borderId="2" applyNumberFormat="0" applyFill="0" applyAlignment="0" applyProtection="0"/>
    <xf numFmtId="0" fontId="18" fillId="5" borderId="0" applyNumberFormat="0" applyAlignment="0" applyProtection="0"/>
    <xf numFmtId="0" fontId="14" fillId="0" borderId="0" applyNumberFormat="0" applyFill="0" applyBorder="0" applyAlignment="0" applyProtection="0"/>
    <xf numFmtId="0" fontId="3" fillId="6" borderId="0" applyNumberFormat="0" applyAlignment="0" applyProtection="0"/>
    <xf numFmtId="0" fontId="17"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 fillId="9" borderId="4" applyBorder="0">
      <alignment horizontal="center" vertical="center"/>
    </xf>
    <xf numFmtId="0" fontId="8" fillId="10" borderId="4" applyBorder="0">
      <alignment horizontal="center" vertical="center"/>
    </xf>
    <xf numFmtId="0" fontId="6" fillId="11" borderId="4" applyBorder="0">
      <alignment horizontal="center" vertical="center"/>
    </xf>
    <xf numFmtId="0" fontId="8" fillId="12" borderId="4" applyBorder="0">
      <alignment horizontal="center" vertical="center"/>
    </xf>
    <xf numFmtId="0" fontId="3" fillId="3" borderId="0"/>
    <xf numFmtId="9" fontId="3" fillId="0" borderId="0" applyFont="0" applyFill="0" applyBorder="0" applyAlignment="0" applyProtection="0"/>
    <xf numFmtId="0" fontId="22" fillId="0" borderId="0" applyNumberFormat="0" applyFill="0" applyBorder="0" applyAlignment="0" applyProtection="0"/>
    <xf numFmtId="0" fontId="22" fillId="0" borderId="0"/>
    <xf numFmtId="0" fontId="8" fillId="14" borderId="0">
      <alignment horizontal="center" vertical="center"/>
    </xf>
    <xf numFmtId="0" fontId="2" fillId="0" borderId="0"/>
    <xf numFmtId="0" fontId="1" fillId="0" borderId="0"/>
    <xf numFmtId="0" fontId="3" fillId="0" borderId="0"/>
  </cellStyleXfs>
  <cellXfs count="440">
    <xf numFmtId="0" fontId="0" fillId="0" borderId="0" xfId="0"/>
    <xf numFmtId="0" fontId="0" fillId="0" borderId="0" xfId="0" applyBorder="1"/>
    <xf numFmtId="0" fontId="0" fillId="0" borderId="0" xfId="0" applyFill="1"/>
    <xf numFmtId="0" fontId="0" fillId="0" borderId="0" xfId="0"/>
    <xf numFmtId="0" fontId="0" fillId="0" borderId="0" xfId="0" applyFill="1" applyBorder="1"/>
    <xf numFmtId="0" fontId="7" fillId="8" borderId="0" xfId="0" applyFont="1" applyFill="1" applyAlignment="1">
      <alignment vertical="center" wrapText="1"/>
    </xf>
    <xf numFmtId="0" fontId="0" fillId="0" borderId="0" xfId="0" applyFont="1" applyFill="1" applyAlignment="1">
      <alignment vertical="center"/>
    </xf>
    <xf numFmtId="0" fontId="7" fillId="0" borderId="0" xfId="0" applyFont="1" applyFill="1" applyAlignment="1">
      <alignment vertical="center"/>
    </xf>
    <xf numFmtId="0" fontId="0" fillId="8" borderId="0" xfId="0" applyFont="1" applyFill="1" applyAlignment="1">
      <alignment vertical="center" wrapText="1"/>
    </xf>
    <xf numFmtId="0" fontId="13" fillId="8" borderId="0" xfId="0" applyFont="1" applyFill="1" applyAlignment="1">
      <alignment horizontal="right" vertical="center"/>
    </xf>
    <xf numFmtId="0" fontId="0" fillId="0" borderId="0" xfId="0" applyFont="1" applyFill="1" applyBorder="1"/>
    <xf numFmtId="9" fontId="0" fillId="0" borderId="0" xfId="0" applyNumberFormat="1"/>
    <xf numFmtId="0" fontId="4" fillId="0" borderId="0" xfId="0" applyFont="1" applyFill="1" applyBorder="1"/>
    <xf numFmtId="9" fontId="0" fillId="0" borderId="0" xfId="24" applyFont="1" applyFill="1" applyBorder="1"/>
    <xf numFmtId="0" fontId="4" fillId="0" borderId="0" xfId="0" applyFont="1" applyFill="1"/>
    <xf numFmtId="9" fontId="0" fillId="0" borderId="0" xfId="0" applyNumberFormat="1" applyFont="1" applyFill="1" applyBorder="1"/>
    <xf numFmtId="9" fontId="0" fillId="0" borderId="0" xfId="0" applyNumberFormat="1" applyFill="1"/>
    <xf numFmtId="9" fontId="7" fillId="0" borderId="0" xfId="0" applyNumberFormat="1" applyFont="1" applyFill="1" applyAlignment="1">
      <alignment vertical="center"/>
    </xf>
    <xf numFmtId="0" fontId="0" fillId="0" borderId="0" xfId="0" applyFont="1" applyFill="1" applyBorder="1" applyAlignment="1">
      <alignment vertical="center"/>
    </xf>
    <xf numFmtId="0" fontId="0" fillId="0" borderId="6" xfId="0" applyFill="1" applyBorder="1"/>
    <xf numFmtId="0" fontId="0" fillId="0" borderId="6" xfId="0" applyBorder="1"/>
    <xf numFmtId="0" fontId="0" fillId="0" borderId="0" xfId="0" applyFont="1" applyFill="1"/>
    <xf numFmtId="9" fontId="4" fillId="0" borderId="0" xfId="24" applyFont="1" applyFill="1" applyBorder="1"/>
    <xf numFmtId="0" fontId="0" fillId="0" borderId="0" xfId="0" applyFill="1" applyAlignment="1">
      <alignment horizontal="left" vertical="center" wrapText="1"/>
    </xf>
    <xf numFmtId="0" fontId="23" fillId="0" borderId="6" xfId="17" applyFont="1" applyFill="1" applyBorder="1" applyAlignment="1" applyProtection="1">
      <alignment vertical="center"/>
    </xf>
    <xf numFmtId="0" fontId="23" fillId="0" borderId="6" xfId="17" applyFont="1" applyFill="1" applyBorder="1" applyAlignment="1" applyProtection="1"/>
    <xf numFmtId="9" fontId="0" fillId="0" borderId="0" xfId="24" applyFont="1"/>
    <xf numFmtId="0" fontId="23" fillId="0" borderId="6" xfId="17" applyFont="1" applyBorder="1" applyAlignment="1" applyProtection="1"/>
    <xf numFmtId="0" fontId="4" fillId="0" borderId="0" xfId="0" applyFont="1"/>
    <xf numFmtId="0" fontId="24" fillId="0" borderId="6" xfId="17" applyFont="1" applyFill="1" applyBorder="1" applyAlignment="1" applyProtection="1"/>
    <xf numFmtId="9" fontId="0" fillId="0" borderId="0" xfId="24" applyFont="1" applyFill="1" applyBorder="1" applyAlignment="1">
      <alignment horizontal="left" vertical="center"/>
    </xf>
    <xf numFmtId="0" fontId="0" fillId="0" borderId="0" xfId="0" applyFill="1" applyBorder="1" applyAlignment="1">
      <alignment horizontal="left" vertical="center"/>
    </xf>
    <xf numFmtId="164" fontId="25" fillId="0" borderId="0" xfId="24" applyNumberFormat="1" applyFont="1" applyBorder="1" applyAlignment="1">
      <alignment horizontal="left" vertical="center"/>
    </xf>
    <xf numFmtId="164" fontId="25" fillId="0" borderId="0" xfId="0" applyNumberFormat="1" applyFont="1" applyBorder="1" applyAlignment="1">
      <alignment horizontal="left" vertical="center"/>
    </xf>
    <xf numFmtId="164" fontId="25" fillId="0" borderId="0" xfId="26" applyNumberFormat="1" applyFont="1" applyBorder="1" applyAlignment="1">
      <alignment horizontal="left" vertical="center"/>
    </xf>
    <xf numFmtId="0" fontId="0" fillId="0" borderId="0" xfId="0"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2" fillId="0" borderId="0" xfId="0" applyFont="1"/>
    <xf numFmtId="0" fontId="27" fillId="0" borderId="0" xfId="0" applyFont="1" applyAlignment="1">
      <alignment vertical="center"/>
    </xf>
    <xf numFmtId="0" fontId="20" fillId="0" borderId="6" xfId="17" applyBorder="1" applyAlignment="1" applyProtection="1"/>
    <xf numFmtId="9" fontId="0" fillId="0" borderId="0" xfId="0" applyNumberFormat="1" applyFont="1"/>
    <xf numFmtId="9" fontId="0" fillId="0" borderId="0" xfId="0" applyNumberFormat="1" applyFont="1" applyFill="1"/>
    <xf numFmtId="0" fontId="28" fillId="0" borderId="0" xfId="0" applyFont="1" applyAlignment="1">
      <alignment horizontal="left" vertical="center" indent="1"/>
    </xf>
    <xf numFmtId="0" fontId="20" fillId="0" borderId="0" xfId="17" applyFill="1" applyAlignment="1" applyProtection="1"/>
    <xf numFmtId="1" fontId="0" fillId="0" borderId="0" xfId="0" applyNumberFormat="1" applyFill="1" applyBorder="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right" vertical="center" wrapText="1"/>
    </xf>
    <xf numFmtId="1" fontId="4" fillId="0" borderId="0" xfId="0" applyNumberFormat="1" applyFont="1" applyFill="1" applyAlignment="1">
      <alignment horizontal="left" vertical="center"/>
    </xf>
    <xf numFmtId="1" fontId="4" fillId="0" borderId="0" xfId="0" applyNumberFormat="1" applyFont="1" applyFill="1" applyAlignment="1">
      <alignment horizontal="left"/>
    </xf>
    <xf numFmtId="0" fontId="4" fillId="0" borderId="0" xfId="0" applyFont="1" applyFill="1" applyAlignment="1">
      <alignment horizontal="right" vertical="center"/>
    </xf>
    <xf numFmtId="0" fontId="4" fillId="0" borderId="0" xfId="0" applyFont="1" applyFill="1" applyAlignment="1">
      <alignment horizontal="right" vertical="top"/>
    </xf>
    <xf numFmtId="1" fontId="4" fillId="0" borderId="0" xfId="0" applyNumberFormat="1" applyFont="1" applyFill="1" applyAlignment="1">
      <alignment horizontal="left" vertical="top"/>
    </xf>
    <xf numFmtId="0" fontId="0" fillId="0" borderId="0" xfId="24" applyNumberFormat="1" applyFont="1" applyFill="1" applyBorder="1"/>
    <xf numFmtId="0" fontId="0" fillId="0" borderId="0" xfId="0" applyNumberFormat="1" applyFill="1" applyBorder="1"/>
    <xf numFmtId="0" fontId="0" fillId="0" borderId="0" xfId="0" applyNumberFormat="1"/>
    <xf numFmtId="9" fontId="25" fillId="0" borderId="0" xfId="24" applyFont="1" applyBorder="1" applyAlignment="1">
      <alignment horizontal="left" vertical="center"/>
    </xf>
    <xf numFmtId="0" fontId="4" fillId="0" borderId="0" xfId="0" applyFont="1" applyFill="1" applyBorder="1" applyAlignment="1">
      <alignment horizontal="right"/>
    </xf>
    <xf numFmtId="0" fontId="26" fillId="0" borderId="0" xfId="0" applyFont="1" applyFill="1" applyBorder="1" applyAlignment="1">
      <alignment horizontal="right" vertical="center"/>
    </xf>
    <xf numFmtId="0" fontId="4" fillId="0" borderId="0" xfId="0" applyFont="1" applyAlignment="1">
      <alignment horizontal="left" vertical="center"/>
    </xf>
    <xf numFmtId="0" fontId="8" fillId="10" borderId="0" xfId="20" applyBorder="1" applyProtection="1">
      <alignment horizontal="center" vertical="center"/>
      <protection locked="0"/>
    </xf>
    <xf numFmtId="0" fontId="0" fillId="0" borderId="6" xfId="0" applyFill="1" applyBorder="1" applyProtection="1"/>
    <xf numFmtId="0" fontId="0" fillId="0" borderId="0" xfId="0" applyFill="1" applyBorder="1" applyProtection="1"/>
    <xf numFmtId="0" fontId="0" fillId="0" borderId="0" xfId="0" applyFill="1" applyProtection="1"/>
    <xf numFmtId="0" fontId="4" fillId="0" borderId="0" xfId="0" applyFont="1" applyProtection="1"/>
    <xf numFmtId="9" fontId="0" fillId="0" borderId="0" xfId="24" applyFont="1" applyFill="1" applyBorder="1" applyProtection="1"/>
    <xf numFmtId="0" fontId="0" fillId="0" borderId="0" xfId="0" applyNumberFormat="1" applyFill="1" applyBorder="1" applyProtection="1"/>
    <xf numFmtId="0" fontId="4" fillId="0" borderId="0" xfId="0" applyFont="1" applyFill="1" applyProtection="1"/>
    <xf numFmtId="0" fontId="4" fillId="0" borderId="0" xfId="0" applyFont="1" applyFill="1" applyBorder="1" applyProtection="1"/>
    <xf numFmtId="0" fontId="4" fillId="0" borderId="0" xfId="0" applyNumberFormat="1" applyFont="1" applyFill="1" applyBorder="1" applyProtection="1"/>
    <xf numFmtId="0" fontId="0" fillId="0" borderId="0" xfId="0" applyNumberFormat="1" applyFill="1" applyProtection="1"/>
    <xf numFmtId="0" fontId="0" fillId="0" borderId="0" xfId="0" applyFont="1" applyFill="1" applyAlignment="1" applyProtection="1">
      <alignment vertical="center"/>
    </xf>
    <xf numFmtId="0" fontId="0" fillId="0" borderId="0" xfId="24" applyNumberFormat="1" applyFont="1" applyFill="1" applyBorder="1" applyProtection="1"/>
    <xf numFmtId="0" fontId="0" fillId="0" borderId="0" xfId="0" applyFont="1" applyFill="1" applyBorder="1" applyAlignment="1" applyProtection="1">
      <alignment vertical="center"/>
    </xf>
    <xf numFmtId="0" fontId="0" fillId="0" borderId="0" xfId="0" applyProtection="1"/>
    <xf numFmtId="9" fontId="7" fillId="0" borderId="0" xfId="0" applyNumberFormat="1" applyFont="1" applyFill="1" applyAlignment="1" applyProtection="1">
      <alignment vertical="center"/>
    </xf>
    <xf numFmtId="0" fontId="7" fillId="0" borderId="0" xfId="0" applyFont="1" applyFill="1" applyAlignment="1" applyProtection="1">
      <alignment vertical="center"/>
    </xf>
    <xf numFmtId="0" fontId="0" fillId="0" borderId="0" xfId="0" applyFont="1" applyFill="1" applyBorder="1" applyProtection="1"/>
    <xf numFmtId="9" fontId="0" fillId="0" borderId="0" xfId="0" applyNumberFormat="1" applyFill="1" applyProtection="1"/>
    <xf numFmtId="0" fontId="0" fillId="0" borderId="0" xfId="0" applyBorder="1" applyProtection="1"/>
    <xf numFmtId="9" fontId="0" fillId="0" borderId="0" xfId="0" applyNumberFormat="1" applyProtection="1"/>
    <xf numFmtId="0" fontId="0" fillId="0" borderId="0" xfId="24" applyNumberFormat="1" applyFont="1" applyBorder="1" applyProtection="1"/>
    <xf numFmtId="0" fontId="0" fillId="0" borderId="6" xfId="0" applyBorder="1" applyProtection="1"/>
    <xf numFmtId="0" fontId="0" fillId="0" borderId="0" xfId="0" applyNumberFormat="1" applyBorder="1" applyProtection="1"/>
    <xf numFmtId="0" fontId="4" fillId="0" borderId="0" xfId="0" applyFont="1" applyBorder="1" applyProtection="1"/>
    <xf numFmtId="0" fontId="4" fillId="0" borderId="0" xfId="0" applyFont="1" applyFill="1" applyAlignment="1" applyProtection="1">
      <alignment horizontal="left" vertical="center"/>
    </xf>
    <xf numFmtId="0" fontId="0" fillId="0" borderId="0" xfId="0" applyNumberFormat="1" applyFont="1" applyFill="1" applyBorder="1" applyProtection="1"/>
    <xf numFmtId="0" fontId="4" fillId="0" borderId="0" xfId="0" applyFont="1" applyFill="1" applyBorder="1" applyAlignment="1" applyProtection="1">
      <alignment horizontal="left" vertical="center" wrapText="1" indent="1"/>
    </xf>
    <xf numFmtId="0" fontId="4" fillId="0" borderId="0" xfId="0" applyFont="1" applyAlignment="1" applyProtection="1">
      <alignment horizontal="right" vertical="top" wrapText="1"/>
    </xf>
    <xf numFmtId="0" fontId="18" fillId="14" borderId="0" xfId="19" applyFont="1" applyFill="1" applyBorder="1" applyProtection="1">
      <alignment horizontal="center" vertical="center"/>
      <protection locked="0"/>
    </xf>
    <xf numFmtId="0" fontId="7" fillId="8" borderId="0" xfId="0" applyFont="1" applyFill="1" applyAlignment="1" applyProtection="1">
      <alignment vertical="center" wrapText="1"/>
    </xf>
    <xf numFmtId="0" fontId="0" fillId="8" borderId="0" xfId="0" applyFont="1" applyFill="1" applyAlignment="1" applyProtection="1">
      <alignment vertical="center" wrapText="1"/>
    </xf>
    <xf numFmtId="0" fontId="13" fillId="8" borderId="0" xfId="0" applyFont="1" applyFill="1" applyAlignment="1" applyProtection="1">
      <alignment horizontal="right" vertical="center"/>
    </xf>
    <xf numFmtId="9" fontId="0" fillId="0" borderId="0" xfId="0" applyNumberFormat="1" applyFont="1" applyFill="1" applyBorder="1" applyProtection="1"/>
    <xf numFmtId="0" fontId="0" fillId="0" borderId="0" xfId="0" applyFill="1" applyAlignment="1" applyProtection="1"/>
    <xf numFmtId="0" fontId="4" fillId="0" borderId="0" xfId="0" applyFont="1" applyFill="1" applyAlignment="1" applyProtection="1">
      <alignment horizontal="right"/>
    </xf>
    <xf numFmtId="0" fontId="4" fillId="0" borderId="0" xfId="0" applyFont="1" applyFill="1" applyAlignment="1" applyProtection="1">
      <alignment horizontal="left"/>
    </xf>
    <xf numFmtId="0" fontId="0" fillId="0" borderId="0" xfId="0" applyFont="1" applyFill="1" applyProtection="1"/>
    <xf numFmtId="9" fontId="4" fillId="0" borderId="0" xfId="24" applyFont="1" applyFill="1" applyBorder="1" applyProtection="1"/>
    <xf numFmtId="1" fontId="4" fillId="0" borderId="0" xfId="0" applyNumberFormat="1" applyFont="1" applyFill="1" applyAlignment="1" applyProtection="1">
      <alignment horizontal="left"/>
    </xf>
    <xf numFmtId="0" fontId="0" fillId="0" borderId="0" xfId="0" applyAlignment="1" applyProtection="1"/>
    <xf numFmtId="0" fontId="0" fillId="0" borderId="0" xfId="0" applyFill="1" applyAlignment="1" applyProtection="1">
      <alignment horizontal="right"/>
    </xf>
    <xf numFmtId="0" fontId="0" fillId="0" borderId="0" xfId="0" applyFont="1" applyFill="1" applyBorder="1" applyAlignment="1" applyProtection="1">
      <alignment horizontal="left" vertical="center" wrapText="1"/>
    </xf>
    <xf numFmtId="9" fontId="0" fillId="0" borderId="0" xfId="24" applyFont="1" applyFill="1" applyBorder="1" applyAlignment="1" applyProtection="1">
      <alignment horizontal="left" vertical="center" wrapText="1"/>
    </xf>
    <xf numFmtId="0" fontId="0" fillId="0" borderId="0" xfId="0" applyNumberFormat="1" applyFont="1" applyFill="1" applyBorder="1" applyAlignment="1" applyProtection="1">
      <alignment horizontal="left" vertical="center"/>
    </xf>
    <xf numFmtId="9" fontId="0" fillId="0" borderId="0" xfId="0" applyNumberFormat="1" applyBorder="1" applyAlignment="1">
      <alignment horizontal="left" vertical="center"/>
    </xf>
    <xf numFmtId="9" fontId="0" fillId="0" borderId="0" xfId="0" applyNumberFormat="1" applyFill="1" applyAlignment="1">
      <alignment horizontal="left" vertical="center"/>
    </xf>
    <xf numFmtId="1" fontId="4" fillId="0" borderId="0" xfId="0" applyNumberFormat="1" applyFont="1" applyAlignment="1" applyProtection="1">
      <alignment horizontal="left" vertical="top"/>
    </xf>
    <xf numFmtId="0" fontId="13" fillId="8" borderId="7" xfId="0" applyFont="1" applyFill="1" applyBorder="1" applyAlignment="1">
      <alignment horizontal="right" vertical="center"/>
    </xf>
    <xf numFmtId="0" fontId="12" fillId="0" borderId="0" xfId="0" applyFont="1" applyFill="1" applyBorder="1" applyAlignment="1">
      <alignment vertical="center"/>
    </xf>
    <xf numFmtId="0" fontId="4" fillId="0" borderId="0" xfId="0" applyFont="1" applyFill="1" applyBorder="1" applyAlignment="1">
      <alignment horizontal="right" vertical="center"/>
    </xf>
    <xf numFmtId="0" fontId="29" fillId="0" borderId="0" xfId="0" applyFont="1" applyFill="1" applyBorder="1" applyAlignment="1">
      <alignment vertical="center"/>
    </xf>
    <xf numFmtId="0" fontId="0" fillId="0" borderId="0" xfId="0" applyNumberFormat="1" applyFont="1" applyFill="1"/>
    <xf numFmtId="0" fontId="4" fillId="0" borderId="0" xfId="0" applyNumberFormat="1" applyFont="1" applyFill="1" applyAlignment="1">
      <alignment horizontal="left" vertical="center"/>
    </xf>
    <xf numFmtId="0" fontId="28" fillId="0" borderId="0" xfId="0" applyFont="1" applyFill="1" applyAlignment="1">
      <alignment horizontal="left"/>
    </xf>
    <xf numFmtId="0" fontId="4" fillId="0" borderId="0" xfId="0" applyNumberFormat="1" applyFont="1" applyFill="1" applyAlignment="1">
      <alignment horizontal="left"/>
    </xf>
    <xf numFmtId="1" fontId="4" fillId="0" borderId="0" xfId="0" applyNumberFormat="1" applyFont="1" applyFill="1" applyBorder="1"/>
    <xf numFmtId="0" fontId="4" fillId="7" borderId="0" xfId="0" applyFont="1" applyFill="1"/>
    <xf numFmtId="9" fontId="4" fillId="7" borderId="0" xfId="24" applyFont="1" applyFill="1" applyBorder="1"/>
    <xf numFmtId="0" fontId="4" fillId="7" borderId="0" xfId="0" applyFont="1" applyFill="1" applyBorder="1"/>
    <xf numFmtId="1" fontId="4" fillId="7" borderId="0" xfId="0" applyNumberFormat="1" applyFont="1" applyFill="1" applyBorder="1"/>
    <xf numFmtId="0" fontId="4" fillId="7" borderId="0" xfId="0" applyFont="1" applyFill="1" applyAlignment="1">
      <alignment horizontal="left"/>
    </xf>
    <xf numFmtId="0" fontId="4" fillId="7" borderId="0" xfId="0" applyFont="1" applyFill="1" applyBorder="1" applyAlignment="1">
      <alignment horizontal="left"/>
    </xf>
    <xf numFmtId="9" fontId="4" fillId="7" borderId="0" xfId="0" applyNumberFormat="1" applyFont="1" applyFill="1"/>
    <xf numFmtId="0" fontId="4" fillId="15" borderId="8" xfId="0" applyFont="1" applyFill="1" applyBorder="1"/>
    <xf numFmtId="0" fontId="0" fillId="0" borderId="8" xfId="0" applyFill="1" applyBorder="1"/>
    <xf numFmtId="9" fontId="0" fillId="0" borderId="8" xfId="0" applyNumberFormat="1" applyBorder="1"/>
    <xf numFmtId="0" fontId="0" fillId="0" borderId="8" xfId="0" applyBorder="1"/>
    <xf numFmtId="9" fontId="0" fillId="0" borderId="8" xfId="24" applyFont="1" applyFill="1" applyBorder="1"/>
    <xf numFmtId="0" fontId="0" fillId="0" borderId="8" xfId="0" applyFont="1" applyFill="1" applyBorder="1"/>
    <xf numFmtId="0" fontId="0" fillId="0" borderId="8" xfId="0" applyFont="1" applyFill="1" applyBorder="1" applyProtection="1"/>
    <xf numFmtId="0" fontId="0" fillId="0" borderId="8" xfId="0" applyBorder="1" applyProtection="1"/>
    <xf numFmtId="0" fontId="0" fillId="0" borderId="8" xfId="0" applyFill="1" applyBorder="1" applyProtection="1"/>
    <xf numFmtId="0" fontId="0" fillId="0" borderId="8" xfId="0" applyNumberFormat="1" applyFill="1" applyBorder="1" applyProtection="1"/>
    <xf numFmtId="0" fontId="0" fillId="0" borderId="8" xfId="24" applyNumberFormat="1" applyFont="1" applyFill="1" applyBorder="1" applyProtection="1"/>
    <xf numFmtId="9" fontId="0" fillId="0" borderId="8" xfId="24" applyFont="1" applyFill="1" applyBorder="1" applyProtection="1"/>
    <xf numFmtId="0" fontId="25" fillId="0" borderId="8" xfId="0" applyFont="1" applyFill="1" applyBorder="1" applyAlignment="1">
      <alignment horizontal="left" vertical="center"/>
    </xf>
    <xf numFmtId="9" fontId="25" fillId="0" borderId="8" xfId="24" applyFont="1" applyBorder="1" applyAlignment="1">
      <alignment horizontal="left" vertical="center"/>
    </xf>
    <xf numFmtId="0" fontId="25" fillId="0" borderId="8" xfId="26" applyNumberFormat="1" applyFont="1" applyBorder="1" applyAlignment="1">
      <alignment horizontal="left" vertical="center"/>
    </xf>
    <xf numFmtId="0" fontId="0" fillId="0" borderId="8" xfId="0" applyNumberFormat="1" applyBorder="1"/>
    <xf numFmtId="0" fontId="0" fillId="0" borderId="8" xfId="24" applyNumberFormat="1" applyFont="1" applyFill="1" applyBorder="1"/>
    <xf numFmtId="9" fontId="0" fillId="0" borderId="8" xfId="24" applyFont="1" applyFill="1" applyBorder="1" applyAlignment="1">
      <alignment horizontal="left" vertical="center"/>
    </xf>
    <xf numFmtId="9" fontId="0" fillId="0" borderId="8" xfId="0" applyNumberFormat="1" applyFill="1" applyBorder="1"/>
    <xf numFmtId="9" fontId="0" fillId="0" borderId="8" xfId="24" applyFont="1" applyBorder="1"/>
    <xf numFmtId="0" fontId="0" fillId="0" borderId="8" xfId="0" applyFont="1" applyFill="1" applyBorder="1" applyAlignment="1" applyProtection="1">
      <alignment horizontal="left" vertical="center"/>
    </xf>
    <xf numFmtId="9" fontId="0" fillId="0" borderId="8" xfId="0" applyNumberFormat="1" applyBorder="1" applyProtection="1"/>
    <xf numFmtId="0" fontId="4" fillId="0" borderId="0" xfId="0" applyFont="1" applyFill="1" applyAlignment="1">
      <alignment horizontal="left" vertical="center"/>
    </xf>
    <xf numFmtId="0" fontId="0" fillId="0" borderId="0" xfId="0" applyFill="1" applyAlignment="1">
      <alignment vertical="center"/>
    </xf>
    <xf numFmtId="0" fontId="5" fillId="0" borderId="0" xfId="0" applyFont="1" applyFill="1"/>
    <xf numFmtId="0" fontId="0" fillId="0" borderId="9" xfId="0" applyBorder="1"/>
    <xf numFmtId="0" fontId="4" fillId="0" borderId="0" xfId="0" applyFont="1" applyBorder="1" applyAlignment="1">
      <alignment horizontal="right" vertical="top"/>
    </xf>
    <xf numFmtId="1" fontId="4" fillId="0" borderId="0" xfId="0" applyNumberFormat="1" applyFont="1" applyFill="1" applyBorder="1" applyAlignment="1">
      <alignment horizontal="left" vertical="top"/>
    </xf>
    <xf numFmtId="9" fontId="4" fillId="0" borderId="0" xfId="24" applyFont="1" applyFill="1" applyBorder="1" applyAlignment="1">
      <alignment horizontal="right" vertical="top"/>
    </xf>
    <xf numFmtId="0" fontId="4" fillId="15" borderId="8" xfId="0" applyFont="1" applyFill="1" applyBorder="1" applyProtection="1"/>
    <xf numFmtId="9" fontId="3" fillId="0" borderId="8" xfId="24" applyFont="1" applyBorder="1" applyAlignment="1" applyProtection="1">
      <alignment horizontal="right" vertical="top"/>
    </xf>
    <xf numFmtId="165" fontId="4" fillId="0" borderId="0" xfId="24" applyNumberFormat="1" applyFont="1" applyFill="1" applyBorder="1" applyAlignment="1" applyProtection="1">
      <alignment horizontal="right"/>
    </xf>
    <xf numFmtId="0" fontId="4" fillId="0" borderId="0" xfId="0" applyFont="1" applyFill="1" applyBorder="1" applyAlignment="1" applyProtection="1">
      <alignment horizontal="left"/>
    </xf>
    <xf numFmtId="0" fontId="4" fillId="7" borderId="0" xfId="0" applyFont="1" applyFill="1" applyAlignment="1">
      <alignment horizontal="right"/>
    </xf>
    <xf numFmtId="0" fontId="4" fillId="0" borderId="9" xfId="0" applyFont="1" applyBorder="1" applyAlignment="1">
      <alignment horizontal="right"/>
    </xf>
    <xf numFmtId="0" fontId="0" fillId="0" borderId="9" xfId="0" applyFill="1" applyBorder="1" applyAlignment="1">
      <alignment horizontal="left"/>
    </xf>
    <xf numFmtId="0" fontId="4" fillId="0" borderId="0" xfId="0" applyFont="1" applyBorder="1" applyAlignment="1">
      <alignment horizontal="left" vertical="top"/>
    </xf>
    <xf numFmtId="0" fontId="0" fillId="0" borderId="0" xfId="0" applyFill="1" applyAlignment="1">
      <alignment horizontal="left"/>
    </xf>
    <xf numFmtId="9" fontId="4" fillId="15" borderId="8" xfId="0" applyNumberFormat="1" applyFont="1" applyFill="1" applyBorder="1"/>
    <xf numFmtId="0" fontId="4" fillId="0" borderId="0" xfId="0" applyFont="1" applyFill="1" applyBorder="1" applyAlignment="1" applyProtection="1">
      <alignment horizontal="right" vertical="center"/>
    </xf>
    <xf numFmtId="9" fontId="4" fillId="15" borderId="8" xfId="0" applyNumberFormat="1" applyFont="1" applyFill="1" applyBorder="1" applyProtection="1"/>
    <xf numFmtId="0" fontId="4" fillId="15" borderId="8" xfId="0" applyNumberFormat="1" applyFont="1" applyFill="1" applyBorder="1" applyProtection="1"/>
    <xf numFmtId="0" fontId="5" fillId="0" borderId="0" xfId="0" applyFont="1" applyProtection="1"/>
    <xf numFmtId="9" fontId="4" fillId="0" borderId="0" xfId="0" applyNumberFormat="1" applyFont="1" applyAlignment="1" applyProtection="1">
      <alignment horizontal="right"/>
    </xf>
    <xf numFmtId="0" fontId="4" fillId="0" borderId="0" xfId="0" applyNumberFormat="1" applyFont="1" applyAlignment="1" applyProtection="1">
      <alignment horizontal="left"/>
    </xf>
    <xf numFmtId="0" fontId="4" fillId="0" borderId="8" xfId="0" applyFont="1" applyFill="1" applyBorder="1" applyAlignment="1">
      <alignment horizontal="left"/>
    </xf>
    <xf numFmtId="0" fontId="4" fillId="15" borderId="8" xfId="0" applyFont="1" applyFill="1" applyBorder="1" applyAlignment="1"/>
    <xf numFmtId="0" fontId="4" fillId="7" borderId="0" xfId="24" applyNumberFormat="1" applyFont="1" applyFill="1" applyAlignment="1">
      <alignment horizontal="right"/>
    </xf>
    <xf numFmtId="0" fontId="26" fillId="15" borderId="8" xfId="0" applyFont="1" applyFill="1" applyBorder="1" applyAlignment="1">
      <alignment horizontal="left"/>
    </xf>
    <xf numFmtId="9" fontId="4" fillId="15" borderId="8" xfId="0" applyNumberFormat="1" applyFont="1" applyFill="1" applyBorder="1" applyAlignment="1"/>
    <xf numFmtId="9" fontId="3" fillId="0" borderId="8" xfId="24" applyFont="1" applyFill="1" applyBorder="1"/>
    <xf numFmtId="9" fontId="4" fillId="0" borderId="0" xfId="24" applyFont="1" applyFill="1" applyAlignment="1">
      <alignment horizontal="right"/>
    </xf>
    <xf numFmtId="0" fontId="4" fillId="7" borderId="0" xfId="0" applyNumberFormat="1" applyFont="1" applyFill="1" applyBorder="1" applyAlignment="1">
      <alignment horizontal="right"/>
    </xf>
    <xf numFmtId="0" fontId="0" fillId="0" borderId="8" xfId="0" applyNumberFormat="1" applyFont="1" applyBorder="1"/>
    <xf numFmtId="0" fontId="4" fillId="0" borderId="0" xfId="0" applyNumberFormat="1" applyFont="1" applyAlignment="1">
      <alignment horizontal="left"/>
    </xf>
    <xf numFmtId="0" fontId="5" fillId="0" borderId="0" xfId="0" applyFont="1"/>
    <xf numFmtId="0" fontId="4" fillId="0" borderId="0" xfId="0" applyFont="1" applyAlignment="1">
      <alignment horizontal="right"/>
    </xf>
    <xf numFmtId="0" fontId="4" fillId="0" borderId="0" xfId="24" applyNumberFormat="1" applyFont="1" applyBorder="1" applyAlignment="1">
      <alignment horizontal="left"/>
    </xf>
    <xf numFmtId="1" fontId="0" fillId="0" borderId="0" xfId="0" applyNumberFormat="1" applyFont="1" applyFill="1" applyBorder="1"/>
    <xf numFmtId="1" fontId="4" fillId="0" borderId="0" xfId="0" applyNumberFormat="1" applyFont="1" applyFill="1" applyBorder="1" applyAlignment="1">
      <alignment horizontal="right"/>
    </xf>
    <xf numFmtId="0" fontId="5" fillId="0" borderId="0" xfId="0" applyFont="1" applyFill="1" applyProtection="1"/>
    <xf numFmtId="0" fontId="4" fillId="15" borderId="8" xfId="0" applyFont="1" applyFill="1" applyBorder="1" applyAlignment="1" applyProtection="1">
      <alignment horizontal="left" vertical="center"/>
    </xf>
    <xf numFmtId="0" fontId="4" fillId="15" borderId="8" xfId="0" applyFont="1" applyFill="1" applyBorder="1" applyAlignment="1" applyProtection="1">
      <alignment horizontal="left" vertical="center" wrapText="1"/>
    </xf>
    <xf numFmtId="0" fontId="4" fillId="0" borderId="0" xfId="0" applyFont="1" applyFill="1" applyAlignment="1">
      <alignment horizontal="left" vertical="top"/>
    </xf>
    <xf numFmtId="0" fontId="0" fillId="0" borderId="0" xfId="0" applyFill="1" applyAlignment="1">
      <alignment vertical="top"/>
    </xf>
    <xf numFmtId="0" fontId="4" fillId="0" borderId="0" xfId="0" applyFont="1" applyFill="1" applyAlignment="1">
      <alignment vertical="top"/>
    </xf>
    <xf numFmtId="0" fontId="4" fillId="0" borderId="0" xfId="0" applyNumberFormat="1" applyFont="1" applyAlignment="1" applyProtection="1">
      <alignment horizontal="right"/>
    </xf>
    <xf numFmtId="1" fontId="4" fillId="0" borderId="0" xfId="0" applyNumberFormat="1" applyFont="1" applyAlignment="1" applyProtection="1">
      <alignment horizontal="left"/>
    </xf>
    <xf numFmtId="0" fontId="4" fillId="17" borderId="8" xfId="0" applyFont="1" applyFill="1" applyBorder="1" applyAlignment="1">
      <alignment vertical="center"/>
    </xf>
    <xf numFmtId="0" fontId="4" fillId="17" borderId="8" xfId="0" applyFont="1" applyFill="1" applyBorder="1" applyAlignment="1">
      <alignment horizontal="center" vertical="center"/>
    </xf>
    <xf numFmtId="164" fontId="26" fillId="17" borderId="8" xfId="26" applyNumberFormat="1" applyFont="1" applyFill="1" applyBorder="1" applyAlignment="1">
      <alignment horizontal="center" vertical="center"/>
    </xf>
    <xf numFmtId="0" fontId="4" fillId="17" borderId="8" xfId="0" applyFont="1" applyFill="1" applyBorder="1" applyAlignment="1">
      <alignment horizontal="center" vertical="center" wrapText="1"/>
    </xf>
    <xf numFmtId="0" fontId="4" fillId="0" borderId="0" xfId="0" applyFont="1" applyAlignment="1">
      <alignment horizontal="left"/>
    </xf>
    <xf numFmtId="9" fontId="0" fillId="18" borderId="8" xfId="0" applyNumberFormat="1" applyFont="1" applyFill="1" applyBorder="1" applyAlignment="1">
      <alignment horizontal="center" vertical="center"/>
    </xf>
    <xf numFmtId="0" fontId="0" fillId="0" borderId="10" xfId="0" applyFont="1" applyBorder="1" applyAlignment="1">
      <alignment vertical="center"/>
    </xf>
    <xf numFmtId="9" fontId="0" fillId="0" borderId="12" xfId="0" applyNumberFormat="1" applyFont="1" applyBorder="1" applyAlignment="1">
      <alignment horizontal="center" vertical="center"/>
    </xf>
    <xf numFmtId="0" fontId="0" fillId="18" borderId="10" xfId="0" applyFont="1" applyFill="1" applyBorder="1" applyAlignment="1">
      <alignment vertical="center"/>
    </xf>
    <xf numFmtId="9" fontId="0" fillId="18" borderId="12" xfId="0" applyNumberFormat="1" applyFont="1" applyFill="1" applyBorder="1" applyAlignment="1">
      <alignment horizontal="center" vertical="center"/>
    </xf>
    <xf numFmtId="0" fontId="4" fillId="17" borderId="10" xfId="0" applyFont="1" applyFill="1" applyBorder="1" applyAlignment="1">
      <alignment horizontal="left" vertical="center" wrapText="1" indent="1"/>
    </xf>
    <xf numFmtId="9" fontId="4" fillId="17" borderId="12" xfId="0" applyNumberFormat="1" applyFont="1" applyFill="1" applyBorder="1" applyAlignment="1">
      <alignment horizontal="center" vertical="center"/>
    </xf>
    <xf numFmtId="0" fontId="0" fillId="8" borderId="10" xfId="0" applyFont="1" applyFill="1" applyBorder="1" applyAlignment="1">
      <alignment horizontal="left" vertical="center" wrapText="1" indent="1"/>
    </xf>
    <xf numFmtId="9" fontId="0" fillId="8" borderId="12" xfId="0" applyNumberFormat="1" applyFont="1" applyFill="1" applyBorder="1" applyAlignment="1">
      <alignment horizontal="center" vertical="center"/>
    </xf>
    <xf numFmtId="0" fontId="0" fillId="18" borderId="10" xfId="0" applyFont="1" applyFill="1" applyBorder="1" applyAlignment="1">
      <alignment horizontal="left" vertical="center" wrapText="1" indent="1"/>
    </xf>
    <xf numFmtId="0" fontId="0" fillId="18" borderId="11" xfId="0" applyFont="1" applyFill="1" applyBorder="1" applyAlignment="1">
      <alignment horizontal="left" vertical="center" wrapText="1" indent="1"/>
    </xf>
    <xf numFmtId="9" fontId="0" fillId="8" borderId="8" xfId="0" applyNumberFormat="1" applyFont="1" applyFill="1" applyBorder="1" applyAlignment="1">
      <alignment horizontal="center" vertical="center"/>
    </xf>
    <xf numFmtId="0" fontId="0" fillId="8" borderId="8" xfId="0" applyFont="1" applyFill="1" applyBorder="1" applyAlignment="1">
      <alignment vertical="center"/>
    </xf>
    <xf numFmtId="0" fontId="0" fillId="8" borderId="8" xfId="0" applyNumberFormat="1" applyFont="1" applyFill="1" applyBorder="1" applyAlignment="1">
      <alignment horizontal="center" vertical="center"/>
    </xf>
    <xf numFmtId="0" fontId="0" fillId="8" borderId="10" xfId="0" applyFont="1" applyFill="1" applyBorder="1" applyAlignment="1">
      <alignment vertical="center"/>
    </xf>
    <xf numFmtId="9" fontId="0" fillId="8" borderId="10" xfId="0" applyNumberFormat="1" applyFont="1" applyFill="1" applyBorder="1" applyAlignment="1">
      <alignment horizontal="center" vertical="center"/>
    </xf>
    <xf numFmtId="0" fontId="0" fillId="8" borderId="12" xfId="0" applyNumberFormat="1" applyFont="1" applyFill="1" applyBorder="1" applyAlignment="1">
      <alignment horizontal="center" vertical="center"/>
    </xf>
    <xf numFmtId="0" fontId="0" fillId="8" borderId="11" xfId="0" applyFont="1" applyFill="1" applyBorder="1" applyAlignment="1">
      <alignment vertical="center"/>
    </xf>
    <xf numFmtId="0" fontId="25" fillId="8" borderId="10" xfId="0" applyFont="1" applyFill="1" applyBorder="1" applyAlignment="1">
      <alignment horizontal="left" vertical="center"/>
    </xf>
    <xf numFmtId="0" fontId="25" fillId="18" borderId="10" xfId="0" applyFont="1" applyFill="1" applyBorder="1" applyAlignment="1">
      <alignment horizontal="left" vertical="center"/>
    </xf>
    <xf numFmtId="0" fontId="25" fillId="8" borderId="11" xfId="0" applyFont="1" applyFill="1" applyBorder="1" applyAlignment="1">
      <alignment horizontal="left" vertical="center"/>
    </xf>
    <xf numFmtId="0" fontId="25" fillId="8" borderId="10" xfId="0" applyFont="1" applyFill="1" applyBorder="1" applyAlignment="1">
      <alignment vertical="center"/>
    </xf>
    <xf numFmtId="0" fontId="25" fillId="18" borderId="10" xfId="0" applyFont="1" applyFill="1" applyBorder="1" applyAlignment="1">
      <alignment vertical="center"/>
    </xf>
    <xf numFmtId="0" fontId="25" fillId="8" borderId="11" xfId="0" applyFont="1" applyFill="1" applyBorder="1" applyAlignment="1">
      <alignment vertical="center"/>
    </xf>
    <xf numFmtId="0" fontId="0" fillId="8" borderId="8" xfId="0" applyFont="1" applyFill="1" applyBorder="1" applyAlignment="1">
      <alignment horizontal="left" vertical="center" wrapText="1"/>
    </xf>
    <xf numFmtId="0" fontId="0" fillId="8" borderId="10" xfId="0" applyFont="1" applyFill="1" applyBorder="1" applyAlignment="1">
      <alignment horizontal="left" vertical="center" wrapText="1"/>
    </xf>
    <xf numFmtId="0" fontId="0" fillId="8" borderId="12" xfId="0" applyFont="1" applyFill="1" applyBorder="1" applyAlignment="1">
      <alignment horizontal="center" vertical="center" wrapText="1"/>
    </xf>
    <xf numFmtId="0" fontId="0" fillId="18" borderId="10" xfId="0" applyFont="1" applyFill="1" applyBorder="1" applyAlignment="1">
      <alignment horizontal="left" vertical="center" wrapText="1"/>
    </xf>
    <xf numFmtId="0" fontId="0" fillId="18" borderId="12" xfId="0" applyFont="1" applyFill="1" applyBorder="1" applyAlignment="1">
      <alignment horizontal="center" vertical="center" wrapText="1"/>
    </xf>
    <xf numFmtId="0" fontId="0" fillId="8" borderId="8" xfId="0" applyFont="1" applyFill="1" applyBorder="1" applyAlignment="1">
      <alignment horizontal="left" vertical="center"/>
    </xf>
    <xf numFmtId="0" fontId="4" fillId="16" borderId="8" xfId="0" applyFont="1" applyFill="1" applyBorder="1" applyProtection="1"/>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8" xfId="0" applyFont="1" applyFill="1" applyBorder="1" applyAlignment="1">
      <alignment vertical="center"/>
    </xf>
    <xf numFmtId="9" fontId="0" fillId="0" borderId="8" xfId="0" applyNumberFormat="1" applyFont="1" applyFill="1" applyBorder="1" applyAlignment="1">
      <alignment horizontal="center" vertical="center"/>
    </xf>
    <xf numFmtId="0" fontId="4" fillId="20" borderId="8" xfId="0" applyFont="1" applyFill="1" applyBorder="1" applyAlignment="1">
      <alignment horizontal="center" vertical="center"/>
    </xf>
    <xf numFmtId="0" fontId="0" fillId="18" borderId="8" xfId="0" applyFont="1" applyFill="1" applyBorder="1" applyAlignment="1">
      <alignment vertical="center"/>
    </xf>
    <xf numFmtId="0" fontId="0" fillId="18" borderId="8" xfId="0" applyNumberFormat="1" applyFont="1" applyFill="1" applyBorder="1" applyAlignment="1">
      <alignment horizontal="center" vertical="center"/>
    </xf>
    <xf numFmtId="0" fontId="30" fillId="20" borderId="8" xfId="0" applyFont="1" applyFill="1" applyBorder="1" applyAlignment="1">
      <alignment horizontal="center" vertical="center" wrapText="1"/>
    </xf>
    <xf numFmtId="0" fontId="14" fillId="0" borderId="8" xfId="0" applyFont="1" applyFill="1" applyBorder="1" applyAlignment="1" applyProtection="1">
      <alignment wrapText="1"/>
    </xf>
    <xf numFmtId="0" fontId="14" fillId="0" borderId="8" xfId="0" applyFont="1" applyBorder="1" applyProtection="1"/>
    <xf numFmtId="0" fontId="0" fillId="0" borderId="8" xfId="0" applyNumberFormat="1" applyFill="1" applyBorder="1"/>
    <xf numFmtId="0" fontId="4" fillId="15" borderId="8" xfId="0" applyFont="1" applyFill="1" applyBorder="1" applyAlignment="1" applyProtection="1"/>
    <xf numFmtId="0" fontId="4" fillId="16" borderId="8" xfId="0" applyFont="1" applyFill="1" applyBorder="1" applyAlignment="1" applyProtection="1">
      <alignment horizontal="right"/>
    </xf>
    <xf numFmtId="9" fontId="18" fillId="19" borderId="12" xfId="0" applyNumberFormat="1" applyFont="1" applyFill="1" applyBorder="1" applyAlignment="1">
      <alignment horizontal="center" vertical="center"/>
    </xf>
    <xf numFmtId="0" fontId="4" fillId="21" borderId="8" xfId="0" applyFont="1" applyFill="1" applyBorder="1" applyProtection="1"/>
    <xf numFmtId="0" fontId="0" fillId="21" borderId="8" xfId="0" applyFill="1" applyBorder="1" applyAlignment="1" applyProtection="1"/>
    <xf numFmtId="9" fontId="4" fillId="21" borderId="8" xfId="0" applyNumberFormat="1" applyFont="1" applyFill="1" applyBorder="1" applyProtection="1"/>
    <xf numFmtId="0" fontId="4" fillId="21" borderId="8" xfId="0" applyFont="1" applyFill="1" applyBorder="1"/>
    <xf numFmtId="9" fontId="4" fillId="21" borderId="8" xfId="0" applyNumberFormat="1" applyFont="1" applyFill="1" applyBorder="1"/>
    <xf numFmtId="9" fontId="0" fillId="0" borderId="8" xfId="24" applyNumberFormat="1" applyFont="1" applyFill="1" applyBorder="1"/>
    <xf numFmtId="1" fontId="0" fillId="0" borderId="8" xfId="24" applyNumberFormat="1" applyFont="1" applyFill="1" applyBorder="1" applyProtection="1"/>
    <xf numFmtId="0" fontId="29" fillId="0" borderId="8" xfId="24" applyNumberFormat="1" applyFont="1" applyFill="1" applyBorder="1"/>
    <xf numFmtId="0" fontId="27" fillId="0" borderId="8" xfId="0" applyFont="1" applyBorder="1" applyAlignment="1">
      <alignment vertical="center"/>
    </xf>
    <xf numFmtId="0" fontId="0" fillId="22" borderId="8" xfId="0" applyFill="1" applyBorder="1" applyProtection="1"/>
    <xf numFmtId="9" fontId="0" fillId="22" borderId="8" xfId="0" applyNumberFormat="1" applyFill="1" applyBorder="1" applyProtection="1"/>
    <xf numFmtId="1" fontId="0" fillId="22" borderId="8" xfId="0" applyNumberFormat="1" applyFill="1" applyBorder="1" applyProtection="1"/>
    <xf numFmtId="0" fontId="32" fillId="0" borderId="0" xfId="0" applyFont="1"/>
    <xf numFmtId="0" fontId="32" fillId="0" borderId="12" xfId="0" applyFont="1" applyFill="1" applyBorder="1"/>
    <xf numFmtId="0" fontId="32" fillId="0" borderId="14" xfId="0" applyFont="1" applyBorder="1"/>
    <xf numFmtId="9" fontId="25" fillId="8" borderId="8" xfId="0" applyNumberFormat="1" applyFont="1" applyFill="1" applyBorder="1" applyAlignment="1">
      <alignment horizontal="left" vertical="center"/>
    </xf>
    <xf numFmtId="0" fontId="25" fillId="8" borderId="8" xfId="0" applyFont="1" applyFill="1" applyBorder="1" applyAlignment="1">
      <alignment vertical="center" wrapText="1"/>
    </xf>
    <xf numFmtId="9" fontId="25" fillId="18" borderId="8" xfId="0" applyNumberFormat="1" applyFont="1" applyFill="1" applyBorder="1" applyAlignment="1">
      <alignment horizontal="left" vertical="center"/>
    </xf>
    <xf numFmtId="0" fontId="25" fillId="18" borderId="8" xfId="0" applyFont="1" applyFill="1" applyBorder="1" applyAlignment="1">
      <alignment vertical="center" wrapText="1"/>
    </xf>
    <xf numFmtId="0" fontId="0" fillId="21" borderId="0" xfId="0" applyFill="1"/>
    <xf numFmtId="9" fontId="0" fillId="8" borderId="8" xfId="0" applyNumberFormat="1" applyFont="1" applyFill="1" applyBorder="1" applyAlignment="1">
      <alignment horizontal="left" vertical="center" wrapText="1"/>
    </xf>
    <xf numFmtId="9" fontId="0" fillId="8" borderId="10" xfId="0" applyNumberFormat="1" applyFont="1" applyFill="1" applyBorder="1" applyAlignment="1">
      <alignment horizontal="left" vertical="center"/>
    </xf>
    <xf numFmtId="9" fontId="0" fillId="18" borderId="8" xfId="0" applyNumberFormat="1" applyFont="1" applyFill="1" applyBorder="1" applyAlignment="1">
      <alignment horizontal="left" vertical="center"/>
    </xf>
    <xf numFmtId="9" fontId="0" fillId="8" borderId="8" xfId="0" applyNumberFormat="1" applyFont="1" applyFill="1" applyBorder="1" applyAlignment="1">
      <alignment horizontal="left" vertical="center"/>
    </xf>
    <xf numFmtId="0" fontId="0" fillId="18" borderId="8" xfId="0" applyFont="1" applyFill="1" applyBorder="1" applyAlignment="1">
      <alignment horizontal="left" vertical="center"/>
    </xf>
    <xf numFmtId="0" fontId="0" fillId="18" borderId="8" xfId="0" applyFont="1" applyFill="1" applyBorder="1" applyAlignment="1">
      <alignment horizontal="left" vertical="center" wrapText="1"/>
    </xf>
    <xf numFmtId="9" fontId="0" fillId="8" borderId="8" xfId="24" applyFont="1" applyFill="1" applyBorder="1" applyAlignment="1">
      <alignment horizontal="left" vertical="center" wrapText="1"/>
    </xf>
    <xf numFmtId="9" fontId="0" fillId="18" borderId="8" xfId="24" applyFont="1" applyFill="1" applyBorder="1" applyAlignment="1">
      <alignment horizontal="left" vertical="center" wrapText="1"/>
    </xf>
    <xf numFmtId="0" fontId="0" fillId="0" borderId="13" xfId="0" applyFill="1" applyBorder="1"/>
    <xf numFmtId="0" fontId="0" fillId="0" borderId="11" xfId="0" applyFill="1" applyBorder="1"/>
    <xf numFmtId="0" fontId="4" fillId="15" borderId="15" xfId="0" applyFont="1" applyFill="1" applyBorder="1"/>
    <xf numFmtId="0" fontId="4" fillId="15" borderId="16" xfId="0" applyFont="1" applyFill="1" applyBorder="1"/>
    <xf numFmtId="0" fontId="4" fillId="15" borderId="17" xfId="0" applyFont="1" applyFill="1" applyBorder="1"/>
    <xf numFmtId="0" fontId="0" fillId="0" borderId="18" xfId="0" applyFill="1" applyBorder="1"/>
    <xf numFmtId="9" fontId="0" fillId="0" borderId="12" xfId="24" applyFont="1" applyFill="1" applyBorder="1"/>
    <xf numFmtId="0" fontId="0" fillId="0" borderId="10" xfId="0" applyFill="1" applyBorder="1"/>
    <xf numFmtId="9" fontId="0" fillId="0" borderId="12" xfId="0" applyNumberFormat="1" applyFill="1" applyBorder="1"/>
    <xf numFmtId="0" fontId="0" fillId="0" borderId="13" xfId="0" applyFont="1" applyFill="1" applyBorder="1"/>
    <xf numFmtId="0" fontId="0" fillId="0" borderId="18" xfId="0" applyFont="1" applyFill="1" applyBorder="1"/>
    <xf numFmtId="0" fontId="0" fillId="0" borderId="10" xfId="0" applyFont="1" applyFill="1" applyBorder="1"/>
    <xf numFmtId="0" fontId="0" fillId="0" borderId="10" xfId="0" applyBorder="1"/>
    <xf numFmtId="0" fontId="0" fillId="0" borderId="18" xfId="0" applyBorder="1"/>
    <xf numFmtId="0" fontId="0" fillId="0" borderId="13" xfId="0" applyBorder="1"/>
    <xf numFmtId="0" fontId="0" fillId="0" borderId="12" xfId="0" applyFill="1" applyBorder="1"/>
    <xf numFmtId="0" fontId="0" fillId="0" borderId="11" xfId="0" applyBorder="1"/>
    <xf numFmtId="9" fontId="0" fillId="0" borderId="12" xfId="0" applyNumberFormat="1" applyBorder="1"/>
    <xf numFmtId="0" fontId="0" fillId="0" borderId="12" xfId="0" applyBorder="1"/>
    <xf numFmtId="0" fontId="4" fillId="15" borderId="16" xfId="0" applyFont="1" applyFill="1" applyBorder="1" applyAlignment="1">
      <alignment wrapText="1"/>
    </xf>
    <xf numFmtId="0" fontId="4" fillId="15" borderId="17" xfId="0" applyFont="1" applyFill="1" applyBorder="1" applyAlignment="1">
      <alignment wrapText="1"/>
    </xf>
    <xf numFmtId="0" fontId="0" fillId="0" borderId="11" xfId="0" applyFill="1" applyBorder="1" applyProtection="1"/>
    <xf numFmtId="0" fontId="4" fillId="15" borderId="17" xfId="0" applyFont="1" applyFill="1" applyBorder="1" applyProtection="1"/>
    <xf numFmtId="9" fontId="0" fillId="0" borderId="12" xfId="24" applyNumberFormat="1" applyFont="1" applyFill="1" applyBorder="1"/>
    <xf numFmtId="0" fontId="0" fillId="0" borderId="12" xfId="0" applyFill="1" applyBorder="1" applyProtection="1"/>
    <xf numFmtId="0" fontId="0" fillId="0" borderId="10" xfId="0" applyFill="1" applyBorder="1" applyProtection="1"/>
    <xf numFmtId="0" fontId="0" fillId="0" borderId="13" xfId="0" applyFont="1" applyFill="1" applyBorder="1" applyAlignment="1">
      <alignment wrapText="1"/>
    </xf>
    <xf numFmtId="0" fontId="0" fillId="0" borderId="11" xfId="0" applyFont="1" applyFill="1" applyBorder="1" applyProtection="1"/>
    <xf numFmtId="0" fontId="0" fillId="0" borderId="18" xfId="0" applyFont="1" applyBorder="1"/>
    <xf numFmtId="9" fontId="0" fillId="0" borderId="12" xfId="24" applyNumberFormat="1" applyFont="1" applyBorder="1"/>
    <xf numFmtId="0" fontId="0" fillId="0" borderId="12" xfId="0" applyFont="1" applyFill="1" applyBorder="1" applyProtection="1"/>
    <xf numFmtId="0" fontId="0" fillId="0" borderId="10" xfId="0" applyFont="1" applyFill="1" applyBorder="1" applyProtection="1"/>
    <xf numFmtId="0" fontId="0" fillId="0" borderId="13" xfId="0" applyFont="1" applyFill="1" applyBorder="1" applyProtection="1"/>
    <xf numFmtId="0" fontId="4" fillId="16" borderId="15" xfId="0" applyFont="1" applyFill="1" applyBorder="1" applyProtection="1"/>
    <xf numFmtId="0" fontId="4" fillId="16" borderId="16" xfId="0" applyFont="1" applyFill="1" applyBorder="1" applyAlignment="1" applyProtection="1">
      <alignment horizontal="center"/>
    </xf>
    <xf numFmtId="0" fontId="4" fillId="16" borderId="17" xfId="0" applyFont="1" applyFill="1" applyBorder="1" applyAlignment="1" applyProtection="1">
      <alignment horizontal="center"/>
    </xf>
    <xf numFmtId="0" fontId="0" fillId="0" borderId="18" xfId="0" applyFont="1" applyFill="1" applyBorder="1" applyProtection="1"/>
    <xf numFmtId="0" fontId="0" fillId="0" borderId="13" xfId="0" applyFill="1" applyBorder="1" applyAlignment="1" applyProtection="1">
      <alignment wrapText="1"/>
    </xf>
    <xf numFmtId="0" fontId="0" fillId="0" borderId="13" xfId="0" applyBorder="1" applyProtection="1"/>
    <xf numFmtId="0" fontId="0" fillId="0" borderId="13" xfId="0" applyFont="1" applyFill="1" applyBorder="1" applyAlignment="1" applyProtection="1">
      <alignment wrapText="1"/>
    </xf>
    <xf numFmtId="0" fontId="0" fillId="0" borderId="13" xfId="0" applyFill="1" applyBorder="1" applyProtection="1"/>
    <xf numFmtId="0" fontId="4" fillId="15" borderId="15" xfId="0" applyFont="1" applyFill="1" applyBorder="1" applyProtection="1"/>
    <xf numFmtId="9" fontId="4" fillId="15" borderId="16" xfId="0" applyNumberFormat="1" applyFont="1" applyFill="1" applyBorder="1" applyProtection="1"/>
    <xf numFmtId="0" fontId="4" fillId="15" borderId="16" xfId="0" applyNumberFormat="1" applyFont="1" applyFill="1" applyBorder="1" applyProtection="1"/>
    <xf numFmtId="0" fontId="4" fillId="15" borderId="16" xfId="0" applyFont="1" applyFill="1" applyBorder="1" applyProtection="1"/>
    <xf numFmtId="0" fontId="0" fillId="0" borderId="18" xfId="0" applyBorder="1" applyProtection="1"/>
    <xf numFmtId="0" fontId="0" fillId="0" borderId="12" xfId="0" applyNumberFormat="1" applyFill="1" applyBorder="1" applyProtection="1"/>
    <xf numFmtId="0" fontId="0" fillId="0" borderId="12" xfId="24" applyNumberFormat="1" applyFont="1" applyFill="1" applyBorder="1" applyProtection="1"/>
    <xf numFmtId="9" fontId="0" fillId="0" borderId="12" xfId="24" applyFont="1" applyFill="1" applyBorder="1" applyProtection="1"/>
    <xf numFmtId="0" fontId="25" fillId="0" borderId="13" xfId="0" applyFont="1" applyFill="1" applyBorder="1" applyAlignment="1">
      <alignment horizontal="left" vertical="center" wrapText="1"/>
    </xf>
    <xf numFmtId="0" fontId="25" fillId="0" borderId="13" xfId="0" applyFont="1" applyFill="1" applyBorder="1" applyAlignment="1">
      <alignment horizontal="left" vertical="center"/>
    </xf>
    <xf numFmtId="0" fontId="0" fillId="0" borderId="11" xfId="0" applyFont="1" applyFill="1" applyBorder="1" applyAlignment="1">
      <alignment horizontal="left" vertical="center"/>
    </xf>
    <xf numFmtId="0" fontId="4" fillId="15" borderId="15" xfId="0" applyFont="1" applyFill="1" applyBorder="1" applyAlignment="1"/>
    <xf numFmtId="0" fontId="4" fillId="15" borderId="16" xfId="0" applyFont="1" applyFill="1" applyBorder="1" applyAlignment="1"/>
    <xf numFmtId="9" fontId="4" fillId="15" borderId="16" xfId="24" applyFont="1" applyFill="1" applyBorder="1" applyAlignment="1">
      <alignment horizontal="left"/>
    </xf>
    <xf numFmtId="0" fontId="4" fillId="15" borderId="16" xfId="0" applyFont="1" applyFill="1" applyBorder="1" applyAlignment="1">
      <alignment horizontal="left"/>
    </xf>
    <xf numFmtId="0" fontId="4" fillId="15" borderId="17" xfId="0" applyFont="1" applyFill="1" applyBorder="1" applyAlignment="1"/>
    <xf numFmtId="0" fontId="25" fillId="0" borderId="18" xfId="0" applyFont="1" applyFill="1" applyBorder="1" applyAlignment="1">
      <alignment horizontal="left" vertical="center" wrapText="1"/>
    </xf>
    <xf numFmtId="9" fontId="25" fillId="0" borderId="12" xfId="24" applyFont="1" applyBorder="1" applyAlignment="1">
      <alignment horizontal="left" vertical="center"/>
    </xf>
    <xf numFmtId="0" fontId="25" fillId="0" borderId="12" xfId="26"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14" xfId="0" applyFont="1" applyFill="1" applyBorder="1" applyAlignment="1">
      <alignment vertical="center"/>
    </xf>
    <xf numFmtId="0" fontId="0" fillId="8" borderId="11" xfId="0" applyNumberFormat="1" applyFill="1" applyBorder="1"/>
    <xf numFmtId="0" fontId="0" fillId="8" borderId="11" xfId="24" applyNumberFormat="1" applyFont="1" applyFill="1" applyBorder="1"/>
    <xf numFmtId="0" fontId="26" fillId="15" borderId="15" xfId="0" applyFont="1" applyFill="1" applyBorder="1" applyAlignment="1">
      <alignment horizontal="left"/>
    </xf>
    <xf numFmtId="9" fontId="4" fillId="15" borderId="16" xfId="0" applyNumberFormat="1" applyFont="1" applyFill="1" applyBorder="1" applyAlignment="1"/>
    <xf numFmtId="9" fontId="4" fillId="15" borderId="17" xfId="0" applyNumberFormat="1" applyFont="1" applyFill="1" applyBorder="1" applyAlignment="1"/>
    <xf numFmtId="0" fontId="0" fillId="8" borderId="10" xfId="24" applyNumberFormat="1" applyFont="1" applyFill="1" applyBorder="1"/>
    <xf numFmtId="0" fontId="0" fillId="0" borderId="13" xfId="0" applyFill="1" applyBorder="1" applyAlignment="1">
      <alignment wrapText="1"/>
    </xf>
    <xf numFmtId="0" fontId="26" fillId="16" borderId="15" xfId="0" applyFont="1" applyFill="1" applyBorder="1" applyAlignment="1">
      <alignment horizontal="left"/>
    </xf>
    <xf numFmtId="0" fontId="0" fillId="0" borderId="11" xfId="0" applyNumberFormat="1" applyFont="1" applyFill="1" applyBorder="1" applyAlignment="1">
      <alignment horizontal="left"/>
    </xf>
    <xf numFmtId="0" fontId="25" fillId="0" borderId="11" xfId="0" applyNumberFormat="1" applyFont="1" applyFill="1" applyBorder="1" applyAlignment="1">
      <alignment horizontal="left" vertical="center"/>
    </xf>
    <xf numFmtId="0" fontId="25" fillId="0" borderId="18" xfId="0" applyFont="1" applyFill="1" applyBorder="1" applyAlignment="1">
      <alignment horizontal="left" vertical="center"/>
    </xf>
    <xf numFmtId="9" fontId="0" fillId="0" borderId="12" xfId="24" applyFont="1" applyFill="1" applyBorder="1" applyAlignment="1">
      <alignment horizontal="left" vertical="center"/>
    </xf>
    <xf numFmtId="0" fontId="30" fillId="15" borderId="15" xfId="0" applyFont="1" applyFill="1" applyBorder="1" applyAlignment="1">
      <alignment horizontal="left"/>
    </xf>
    <xf numFmtId="1" fontId="0" fillId="0" borderId="11" xfId="0" applyNumberFormat="1" applyFont="1" applyFill="1" applyBorder="1"/>
    <xf numFmtId="1" fontId="0" fillId="0" borderId="10" xfId="0" applyNumberFormat="1" applyFont="1" applyFill="1" applyBorder="1"/>
    <xf numFmtId="0" fontId="28" fillId="0" borderId="13" xfId="0" applyFont="1" applyFill="1" applyBorder="1" applyAlignment="1">
      <alignment horizontal="left" vertical="center" wrapText="1" indent="1"/>
    </xf>
    <xf numFmtId="0" fontId="28" fillId="0" borderId="13" xfId="0" applyFont="1" applyFill="1" applyBorder="1" applyAlignment="1">
      <alignment horizontal="left" vertical="center" indent="1"/>
    </xf>
    <xf numFmtId="0" fontId="28" fillId="0" borderId="18" xfId="0" applyFont="1" applyFill="1" applyBorder="1" applyAlignment="1">
      <alignment horizontal="left" vertical="center" indent="1"/>
    </xf>
    <xf numFmtId="0" fontId="0" fillId="0" borderId="12" xfId="0" applyNumberFormat="1" applyFont="1" applyFill="1" applyBorder="1"/>
    <xf numFmtId="0" fontId="29" fillId="0" borderId="13" xfId="0" applyFont="1" applyFill="1" applyBorder="1"/>
    <xf numFmtId="0" fontId="29" fillId="0" borderId="18" xfId="0" applyFont="1" applyFill="1" applyBorder="1"/>
    <xf numFmtId="0" fontId="0" fillId="0" borderId="12" xfId="0" applyNumberFormat="1" applyBorder="1"/>
    <xf numFmtId="9" fontId="0" fillId="0" borderId="12" xfId="24" applyFont="1" applyBorder="1"/>
    <xf numFmtId="0" fontId="0" fillId="0" borderId="12" xfId="0" applyNumberFormat="1" applyFill="1" applyBorder="1"/>
    <xf numFmtId="0" fontId="0" fillId="0" borderId="13" xfId="0" applyFont="1" applyBorder="1" applyAlignment="1">
      <alignment horizontal="left" vertical="top"/>
    </xf>
    <xf numFmtId="0" fontId="0" fillId="0" borderId="18" xfId="0" applyFont="1" applyBorder="1" applyAlignment="1">
      <alignment horizontal="left" vertical="top"/>
    </xf>
    <xf numFmtId="2" fontId="33" fillId="0" borderId="0" xfId="0" applyNumberFormat="1" applyFont="1"/>
    <xf numFmtId="0" fontId="0" fillId="21" borderId="0" xfId="0" applyNumberFormat="1" applyFill="1" applyProtection="1"/>
    <xf numFmtId="0" fontId="0" fillId="21" borderId="0" xfId="0" applyFill="1" applyProtection="1"/>
    <xf numFmtId="0" fontId="0" fillId="0" borderId="8" xfId="0" applyFill="1" applyBorder="1" applyAlignment="1">
      <alignment horizontal="left" vertical="center"/>
    </xf>
    <xf numFmtId="0" fontId="0" fillId="0" borderId="8" xfId="0" applyFill="1" applyBorder="1" applyAlignment="1">
      <alignment horizontal="left" vertical="center" wrapText="1"/>
    </xf>
    <xf numFmtId="0" fontId="0" fillId="18" borderId="8" xfId="0" applyFill="1" applyBorder="1" applyAlignment="1">
      <alignment horizontal="left" vertical="center"/>
    </xf>
    <xf numFmtId="0" fontId="0" fillId="18" borderId="8" xfId="0" applyFill="1" applyBorder="1" applyAlignment="1">
      <alignment horizontal="left" vertical="center" wrapText="1"/>
    </xf>
    <xf numFmtId="0" fontId="6" fillId="0" borderId="0" xfId="0" applyFont="1" applyFill="1" applyAlignment="1">
      <alignment horizontal="left"/>
    </xf>
    <xf numFmtId="0" fontId="8" fillId="10" borderId="0" xfId="20" applyBorder="1" applyProtection="1">
      <alignment horizontal="center" vertical="center"/>
    </xf>
    <xf numFmtId="0" fontId="0" fillId="22" borderId="10" xfId="0" applyFont="1" applyFill="1" applyBorder="1"/>
    <xf numFmtId="9" fontId="0" fillId="23" borderId="10" xfId="0" applyNumberFormat="1" applyFont="1" applyFill="1" applyBorder="1"/>
    <xf numFmtId="0" fontId="0" fillId="23" borderId="10" xfId="0" applyFont="1" applyFill="1" applyBorder="1"/>
    <xf numFmtId="0" fontId="0" fillId="0" borderId="10" xfId="0" applyFont="1" applyBorder="1"/>
    <xf numFmtId="0" fontId="8" fillId="14" borderId="0" xfId="27">
      <alignment horizontal="center" vertical="center"/>
    </xf>
    <xf numFmtId="0" fontId="0" fillId="23" borderId="20" xfId="0" applyFont="1" applyFill="1" applyBorder="1"/>
    <xf numFmtId="14" fontId="29" fillId="0" borderId="8" xfId="0" applyNumberFormat="1" applyFont="1" applyFill="1" applyBorder="1" applyAlignment="1">
      <alignment horizontal="center" vertical="center"/>
    </xf>
    <xf numFmtId="14" fontId="29" fillId="18" borderId="8" xfId="0" applyNumberFormat="1" applyFont="1" applyFill="1" applyBorder="1" applyAlignment="1">
      <alignment horizontal="center" vertical="center"/>
    </xf>
    <xf numFmtId="1" fontId="29" fillId="0" borderId="8" xfId="0" applyNumberFormat="1" applyFont="1" applyFill="1" applyBorder="1" applyAlignment="1">
      <alignment horizontal="center" vertical="center"/>
    </xf>
    <xf numFmtId="1" fontId="29" fillId="18" borderId="8" xfId="0" applyNumberFormat="1" applyFont="1" applyFill="1" applyBorder="1" applyAlignment="1">
      <alignment horizontal="center" vertical="center"/>
    </xf>
    <xf numFmtId="1" fontId="29" fillId="0" borderId="8" xfId="0" applyNumberFormat="1" applyFont="1" applyBorder="1" applyAlignment="1">
      <alignment horizontal="center" vertical="center"/>
    </xf>
    <xf numFmtId="9" fontId="0" fillId="23" borderId="12" xfId="0" applyNumberFormat="1" applyFont="1" applyFill="1" applyBorder="1"/>
    <xf numFmtId="0" fontId="0" fillId="23" borderId="14" xfId="0" applyFont="1" applyFill="1" applyBorder="1" applyAlignment="1">
      <alignment horizontal="left" vertical="center"/>
    </xf>
    <xf numFmtId="0" fontId="0" fillId="0" borderId="14" xfId="0" applyFont="1" applyBorder="1" applyAlignment="1">
      <alignment horizontal="left" vertical="center"/>
    </xf>
    <xf numFmtId="0" fontId="0" fillId="0" borderId="14" xfId="0" applyFont="1" applyBorder="1"/>
    <xf numFmtId="1" fontId="0" fillId="23" borderId="10" xfId="0" applyNumberFormat="1" applyFont="1" applyFill="1" applyBorder="1"/>
    <xf numFmtId="0" fontId="4" fillId="21" borderId="0" xfId="0" applyFont="1" applyFill="1" applyBorder="1" applyAlignment="1">
      <alignment horizontal="left" vertical="center"/>
    </xf>
    <xf numFmtId="0" fontId="4" fillId="21" borderId="21" xfId="0" applyFont="1" applyFill="1" applyBorder="1" applyAlignment="1">
      <alignment horizontal="left" vertical="center" wrapText="1"/>
    </xf>
    <xf numFmtId="0" fontId="4" fillId="21" borderId="21" xfId="0" applyFont="1" applyFill="1" applyBorder="1"/>
    <xf numFmtId="0" fontId="31" fillId="21" borderId="21" xfId="0" applyFont="1" applyFill="1" applyBorder="1"/>
    <xf numFmtId="0" fontId="31" fillId="21" borderId="21" xfId="0" applyFont="1" applyFill="1" applyBorder="1" applyAlignment="1">
      <alignment horizontal="left" vertical="center" wrapText="1"/>
    </xf>
    <xf numFmtId="0" fontId="4" fillId="21" borderId="21" xfId="0" applyFont="1" applyFill="1" applyBorder="1" applyAlignment="1">
      <alignment horizontal="right"/>
    </xf>
    <xf numFmtId="0" fontId="0" fillId="0" borderId="18" xfId="0" applyFont="1" applyBorder="1" applyAlignment="1">
      <alignment horizontal="left" vertical="center"/>
    </xf>
    <xf numFmtId="0" fontId="0" fillId="22" borderId="12" xfId="0" applyFont="1" applyFill="1" applyBorder="1"/>
    <xf numFmtId="0" fontId="0" fillId="0" borderId="12" xfId="0" applyFont="1" applyBorder="1"/>
    <xf numFmtId="0" fontId="0" fillId="24" borderId="8" xfId="0" applyFont="1" applyFill="1" applyBorder="1"/>
    <xf numFmtId="0" fontId="0" fillId="0" borderId="8" xfId="0" applyFont="1" applyBorder="1"/>
    <xf numFmtId="0" fontId="0" fillId="0" borderId="17" xfId="0" applyFill="1" applyBorder="1"/>
    <xf numFmtId="9" fontId="4" fillId="16" borderId="16" xfId="0" applyNumberFormat="1" applyFont="1" applyFill="1" applyBorder="1"/>
    <xf numFmtId="0" fontId="0" fillId="16" borderId="22" xfId="0" applyFill="1" applyBorder="1"/>
    <xf numFmtId="0" fontId="4" fillId="16" borderId="8" xfId="0" applyFont="1" applyFill="1" applyBorder="1"/>
    <xf numFmtId="0" fontId="35" fillId="15" borderId="16" xfId="0" applyFont="1" applyFill="1" applyBorder="1"/>
    <xf numFmtId="0" fontId="4" fillId="16" borderId="22" xfId="0" applyFont="1" applyFill="1" applyBorder="1" applyAlignment="1" applyProtection="1">
      <alignment horizontal="center"/>
    </xf>
    <xf numFmtId="0" fontId="4" fillId="17" borderId="11" xfId="0" applyFont="1" applyFill="1" applyBorder="1" applyAlignment="1">
      <alignment horizontal="left" vertical="center"/>
    </xf>
    <xf numFmtId="0" fontId="4" fillId="17" borderId="13" xfId="0" applyFont="1" applyFill="1" applyBorder="1" applyAlignment="1">
      <alignment horizontal="left" vertical="center"/>
    </xf>
    <xf numFmtId="9" fontId="0" fillId="24" borderId="8" xfId="24" applyNumberFormat="1" applyFont="1" applyFill="1" applyBorder="1"/>
    <xf numFmtId="0" fontId="0" fillId="24" borderId="11" xfId="0" applyFont="1" applyFill="1" applyBorder="1"/>
    <xf numFmtId="9" fontId="0" fillId="0" borderId="8" xfId="24" applyNumberFormat="1" applyFont="1" applyBorder="1"/>
    <xf numFmtId="0" fontId="0" fillId="0" borderId="11" xfId="0" applyFont="1" applyBorder="1"/>
    <xf numFmtId="9" fontId="0" fillId="0" borderId="12" xfId="0" applyNumberFormat="1" applyFont="1" applyFill="1" applyBorder="1" applyAlignment="1">
      <alignment horizontal="center" vertical="center"/>
    </xf>
    <xf numFmtId="0" fontId="0" fillId="18" borderId="11" xfId="0" applyFont="1" applyFill="1" applyBorder="1" applyAlignment="1">
      <alignment vertical="center"/>
    </xf>
    <xf numFmtId="9" fontId="0" fillId="18" borderId="8" xfId="0" applyNumberFormat="1" applyFont="1" applyFill="1" applyBorder="1" applyAlignment="1">
      <alignment horizontal="left" vertical="center" wrapText="1"/>
    </xf>
    <xf numFmtId="0" fontId="0" fillId="0" borderId="14" xfId="0" applyFill="1" applyBorder="1"/>
    <xf numFmtId="0" fontId="0" fillId="0" borderId="13" xfId="0" applyFont="1" applyFill="1" applyBorder="1" applyAlignment="1">
      <alignment vertical="center"/>
    </xf>
    <xf numFmtId="0" fontId="0" fillId="8" borderId="10" xfId="0" applyNumberFormat="1" applyFill="1" applyBorder="1"/>
    <xf numFmtId="0" fontId="0" fillId="0" borderId="19" xfId="0" applyFill="1" applyBorder="1"/>
    <xf numFmtId="0" fontId="0" fillId="0" borderId="18" xfId="0" applyFont="1" applyFill="1" applyBorder="1" applyAlignment="1">
      <alignment vertical="center"/>
    </xf>
    <xf numFmtId="1" fontId="0" fillId="0" borderId="8" xfId="0" applyNumberFormat="1" applyFont="1" applyFill="1" applyBorder="1" applyAlignment="1">
      <alignment horizontal="center" vertical="center"/>
    </xf>
    <xf numFmtId="1" fontId="0" fillId="18" borderId="8" xfId="0" applyNumberFormat="1" applyFont="1" applyFill="1" applyBorder="1" applyAlignment="1">
      <alignment horizontal="center" vertical="center"/>
    </xf>
    <xf numFmtId="0" fontId="0" fillId="0" borderId="10" xfId="0" applyNumberFormat="1" applyFont="1" applyFill="1" applyBorder="1" applyAlignment="1">
      <alignment horizontal="left"/>
    </xf>
    <xf numFmtId="9" fontId="25" fillId="8" borderId="8" xfId="0" applyNumberFormat="1" applyFont="1" applyFill="1" applyBorder="1" applyAlignment="1">
      <alignment horizontal="center" vertical="center"/>
    </xf>
    <xf numFmtId="0" fontId="25" fillId="8" borderId="8" xfId="0" applyNumberFormat="1" applyFont="1" applyFill="1" applyBorder="1" applyAlignment="1">
      <alignment horizontal="center" vertical="center"/>
    </xf>
    <xf numFmtId="9" fontId="25" fillId="8" borderId="8" xfId="24" applyFont="1" applyFill="1" applyBorder="1" applyAlignment="1">
      <alignment horizontal="center" vertical="center" wrapText="1"/>
    </xf>
    <xf numFmtId="0" fontId="25" fillId="8" borderId="8" xfId="0" applyFont="1" applyFill="1" applyBorder="1" applyAlignment="1">
      <alignment horizontal="center" vertical="center" wrapText="1"/>
    </xf>
    <xf numFmtId="9" fontId="25" fillId="18" borderId="8" xfId="24" applyFont="1" applyFill="1" applyBorder="1" applyAlignment="1">
      <alignment horizontal="center" vertical="center" wrapText="1"/>
    </xf>
    <xf numFmtId="0" fontId="25" fillId="18" borderId="8" xfId="0" applyFont="1" applyFill="1" applyBorder="1" applyAlignment="1">
      <alignment horizontal="center" vertical="center" wrapText="1"/>
    </xf>
    <xf numFmtId="9" fontId="18" fillId="19" borderId="8" xfId="0" applyNumberFormat="1" applyFont="1" applyFill="1" applyBorder="1" applyAlignment="1">
      <alignment horizontal="center" vertical="center"/>
    </xf>
    <xf numFmtId="0" fontId="18" fillId="19" borderId="8" xfId="0" applyNumberFormat="1" applyFont="1" applyFill="1" applyBorder="1" applyAlignment="1">
      <alignment horizontal="center" vertical="center"/>
    </xf>
    <xf numFmtId="0" fontId="18" fillId="19" borderId="8" xfId="0" applyFont="1" applyFill="1" applyBorder="1" applyAlignment="1">
      <alignment horizontal="center" vertical="center" wrapText="1"/>
    </xf>
    <xf numFmtId="1" fontId="18" fillId="19" borderId="8" xfId="0" applyNumberFormat="1" applyFont="1" applyFill="1" applyBorder="1" applyAlignment="1">
      <alignment horizontal="center" vertical="center"/>
    </xf>
    <xf numFmtId="0" fontId="12" fillId="4" borderId="5" xfId="0" applyFont="1" applyFill="1" applyBorder="1" applyAlignment="1">
      <alignment horizontal="center" vertical="center"/>
    </xf>
    <xf numFmtId="0" fontId="12" fillId="4" borderId="5" xfId="0" applyFont="1" applyFill="1" applyBorder="1" applyAlignment="1" applyProtection="1">
      <alignment horizontal="center" vertical="center"/>
    </xf>
    <xf numFmtId="0" fontId="30" fillId="20" borderId="8" xfId="0" applyFont="1" applyFill="1" applyBorder="1" applyAlignment="1">
      <alignment horizontal="left" vertical="center" wrapText="1"/>
    </xf>
    <xf numFmtId="0" fontId="4" fillId="20" borderId="8" xfId="0" applyFont="1" applyFill="1" applyBorder="1" applyAlignment="1">
      <alignment vertical="center" wrapText="1"/>
    </xf>
    <xf numFmtId="0" fontId="4" fillId="17" borderId="8" xfId="0" applyFont="1" applyFill="1" applyBorder="1" applyAlignment="1">
      <alignment horizontal="left" vertical="center" wrapText="1"/>
    </xf>
    <xf numFmtId="164" fontId="26" fillId="17" borderId="11" xfId="26" applyNumberFormat="1" applyFont="1" applyFill="1" applyBorder="1" applyAlignment="1">
      <alignment horizontal="left" vertical="center" wrapText="1"/>
    </xf>
    <xf numFmtId="164" fontId="26" fillId="17" borderId="13" xfId="26" applyNumberFormat="1" applyFont="1" applyFill="1" applyBorder="1" applyAlignment="1">
      <alignment horizontal="left" vertical="center" wrapText="1"/>
    </xf>
    <xf numFmtId="0" fontId="4" fillId="17" borderId="11" xfId="0" applyFont="1" applyFill="1" applyBorder="1" applyAlignment="1">
      <alignment horizontal="left" vertical="center" wrapText="1"/>
    </xf>
    <xf numFmtId="0" fontId="4" fillId="17" borderId="13" xfId="0" applyFont="1" applyFill="1" applyBorder="1" applyAlignment="1">
      <alignment horizontal="left" vertical="center" wrapText="1"/>
    </xf>
    <xf numFmtId="0" fontId="30" fillId="17" borderId="11" xfId="0" applyFont="1" applyFill="1" applyBorder="1" applyAlignment="1">
      <alignment horizontal="left" vertical="top" wrapText="1"/>
    </xf>
    <xf numFmtId="0" fontId="30" fillId="17" borderId="13" xfId="0" applyFont="1" applyFill="1" applyBorder="1" applyAlignment="1">
      <alignment horizontal="left" vertical="top" wrapText="1"/>
    </xf>
    <xf numFmtId="0" fontId="0" fillId="0" borderId="0" xfId="0" applyFont="1" applyFill="1" applyAlignment="1" applyProtection="1">
      <alignment horizontal="center" vertical="center"/>
    </xf>
  </cellXfs>
  <cellStyles count="31">
    <cellStyle name="Bad" xfId="7" builtinId="27" customBuiltin="1"/>
    <cellStyle name="Button 1" xfId="21"/>
    <cellStyle name="Button 2" xfId="19"/>
    <cellStyle name="Button 3" xfId="22"/>
    <cellStyle name="Button 4" xfId="20"/>
    <cellStyle name="Calculation" xfId="11" builtinId="22" customBuiltin="1"/>
    <cellStyle name="Check Cell" xfId="13" builtinId="23" customBuiltin="1"/>
    <cellStyle name="Explanatory Text" xfId="16" builtinId="53" customBuiltin="1"/>
    <cellStyle name="Followed Hyperlink" xfId="18"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3"/>
    <cellStyle name="Hyperlink" xfId="17" builtinId="8" customBuiltin="1"/>
    <cellStyle name="Input" xfId="9" builtinId="20" customBuiltin="1"/>
    <cellStyle name="Linked Cell" xfId="12" builtinId="24" customBuiltin="1"/>
    <cellStyle name="Neutral" xfId="8" builtinId="28" customBuiltin="1"/>
    <cellStyle name="Normal" xfId="0" builtinId="0" customBuiltin="1"/>
    <cellStyle name="Normal 2" xfId="25"/>
    <cellStyle name="Normal 3" xfId="28"/>
    <cellStyle name="Normal 4" xfId="29"/>
    <cellStyle name="Normal 5" xfId="30"/>
    <cellStyle name="Normal_perp behavior" xfId="26"/>
    <cellStyle name="Note" xfId="15" builtinId="10" customBuiltin="1"/>
    <cellStyle name="Output" xfId="10" builtinId="21" customBuiltin="1"/>
    <cellStyle name="Percent" xfId="24" builtinId="5"/>
    <cellStyle name="Style 1" xfId="27"/>
    <cellStyle name="Title" xfId="1" builtinId="15" customBuiltin="1"/>
    <cellStyle name="Warning Text" xfId="14" builtinId="11" customBuiltin="1"/>
  </cellStyles>
  <dxfs count="206">
    <dxf>
      <font>
        <b val="0"/>
        <i val="0"/>
        <strike val="0"/>
        <condense val="0"/>
        <extend val="0"/>
        <outline val="0"/>
        <shadow val="0"/>
        <u val="none"/>
        <vertAlign val="baseline"/>
        <sz val="9"/>
        <color theme="1"/>
        <name val="Verdana"/>
        <scheme val="minor"/>
      </font>
      <numFmt numFmtId="1" formatCode="0"/>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fill>
        <patternFill patternType="solid">
          <fgColor indexed="64"/>
          <bgColor theme="1"/>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fill>
        <patternFill patternType="solid">
          <fgColor indexed="64"/>
          <bgColor theme="1"/>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fill>
        <patternFill patternType="solid">
          <fgColor indexed="64"/>
          <bgColor theme="1"/>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fill>
        <patternFill patternType="solid">
          <fgColor indexed="64"/>
          <bgColor theme="1"/>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numFmt numFmtId="13" formatCode="0%"/>
      <fill>
        <patternFill patternType="solid">
          <fgColor theme="4" tint="0.79998168889431442"/>
          <bgColor theme="4" tint="0.79998168889431442"/>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Verdana"/>
        <scheme val="minor"/>
      </font>
      <numFmt numFmtId="13" formatCode="0%"/>
      <fill>
        <patternFill patternType="solid">
          <fgColor theme="4" tint="0.79998168889431442"/>
          <bgColor theme="4" tint="0.79998168889431442"/>
        </patternFill>
      </fill>
      <border diagonalUp="0" diagonalDown="0">
        <left style="thin">
          <color indexed="64"/>
        </left>
        <right/>
        <top style="thin">
          <color indexed="64"/>
        </top>
        <bottom/>
        <vertical/>
        <horizontal/>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4F5861"/>
        <name val="Verdana"/>
        <scheme val="minor"/>
      </font>
      <fill>
        <patternFill patternType="none">
          <fgColor indexed="64"/>
          <bgColor indexed="65"/>
        </patternFill>
      </fill>
      <alignment horizontal="left" vertical="center"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Verdana"/>
        <scheme val="minor"/>
      </font>
      <numFmt numFmtId="1"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7"/>
        <name val="Verdana"/>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Verdana"/>
        <scheme val="minor"/>
      </font>
      <numFmt numFmtId="0" formatCode="General"/>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0" formatCode="General"/>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numFmt numFmtId="0" formatCode="General"/>
      <fill>
        <patternFill patternType="solid">
          <fgColor indexed="64"/>
          <bgColor theme="8" tint="0.79998168889431442"/>
        </patternFill>
      </fill>
      <border diagonalUp="0" diagonalDown="0" outline="0">
        <left style="thin">
          <color indexed="64"/>
        </left>
        <right style="thin">
          <color indexed="64"/>
        </right>
        <top/>
        <bottom/>
      </border>
      <protection locked="1" hidden="0"/>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s>
  <tableStyles count="0" defaultTableStyle="TableStyleLight16" defaultPivotStyle="PivotStyleLight16"/>
  <colors>
    <mruColors>
      <color rgb="FFFF66CC"/>
      <color rgb="FFCC3399"/>
      <color rgb="FFCF0A2C"/>
      <color rgb="FFFCC7D0"/>
      <color rgb="FFC3D997"/>
      <color rgb="FFDEC4C4"/>
      <color rgb="FF6F912B"/>
      <color rgb="FF7FA732"/>
      <color rgb="FFD5801D"/>
      <color rgb="FFF8CA1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Participation in Student Groups</a:t>
            </a:r>
          </a:p>
        </c:rich>
      </c:tx>
      <c:layout/>
      <c:overlay val="0"/>
    </c:title>
    <c:autoTitleDeleted val="0"/>
    <c:plotArea>
      <c:layout/>
      <c:barChart>
        <c:barDir val="bar"/>
        <c:grouping val="stacked"/>
        <c:varyColors val="0"/>
        <c:ser>
          <c:idx val="0"/>
          <c:order val="0"/>
          <c:invertIfNegative val="0"/>
          <c:dLbls>
            <c:txPr>
              <a:bodyPr/>
              <a:lstStyle/>
              <a:p>
                <a:pPr>
                  <a:defRPr b="1"/>
                </a:pPr>
                <a:endParaRPr lang="en-US"/>
              </a:p>
            </c:txPr>
            <c:dLblPos val="inEnd"/>
            <c:showLegendKey val="0"/>
            <c:showVal val="1"/>
            <c:showCatName val="0"/>
            <c:showSerName val="0"/>
            <c:showPercent val="0"/>
            <c:showBubbleSize val="0"/>
            <c:showLeaderLines val="0"/>
          </c:dLbls>
          <c:cat>
            <c:strRef>
              <c:f>Demos!$S$23:$S$30</c:f>
              <c:strCache>
                <c:ptCount val="8"/>
                <c:pt idx="0">
                  <c:v>Other</c:v>
                </c:pt>
                <c:pt idx="1">
                  <c:v>Intramural sports team</c:v>
                </c:pt>
                <c:pt idx="2">
                  <c:v>Student government</c:v>
                </c:pt>
                <c:pt idx="3">
                  <c:v>Fraternity or sorority</c:v>
                </c:pt>
                <c:pt idx="4">
                  <c:v>Intercollegiate sports team</c:v>
                </c:pt>
                <c:pt idx="5">
                  <c:v>Club sports team</c:v>
                </c:pt>
                <c:pt idx="6">
                  <c:v>Performing arts group</c:v>
                </c:pt>
                <c:pt idx="7">
                  <c:v>Cultural/religious/spiritual group</c:v>
                </c:pt>
              </c:strCache>
            </c:strRef>
          </c:cat>
          <c:val>
            <c:numRef>
              <c:f>Demos!$T$23:$T$30</c:f>
              <c:numCache>
                <c:formatCode>0%</c:formatCode>
                <c:ptCount val="8"/>
                <c:pt idx="0">
                  <c:v>0.13444893248701673</c:v>
                </c:pt>
                <c:pt idx="1">
                  <c:v>9.8095787651471429E-3</c:v>
                </c:pt>
                <c:pt idx="2">
                  <c:v>1.4425851125216388E-2</c:v>
                </c:pt>
                <c:pt idx="3">
                  <c:v>1.5579919215233698E-2</c:v>
                </c:pt>
                <c:pt idx="4">
                  <c:v>1.7888055395268321E-2</c:v>
                </c:pt>
                <c:pt idx="5">
                  <c:v>2.2504327755337564E-2</c:v>
                </c:pt>
                <c:pt idx="6">
                  <c:v>2.9428736295441432E-2</c:v>
                </c:pt>
                <c:pt idx="7">
                  <c:v>4.9624927870744372E-2</c:v>
                </c:pt>
              </c:numCache>
            </c:numRef>
          </c:val>
        </c:ser>
        <c:dLbls>
          <c:dLblPos val="inEnd"/>
          <c:showLegendKey val="0"/>
          <c:showVal val="1"/>
          <c:showCatName val="0"/>
          <c:showSerName val="0"/>
          <c:showPercent val="0"/>
          <c:showBubbleSize val="0"/>
        </c:dLbls>
        <c:gapWidth val="55"/>
        <c:overlap val="100"/>
        <c:axId val="109032576"/>
        <c:axId val="109039616"/>
      </c:barChart>
      <c:catAx>
        <c:axId val="109032576"/>
        <c:scaling>
          <c:orientation val="minMax"/>
        </c:scaling>
        <c:delete val="0"/>
        <c:axPos val="l"/>
        <c:numFmt formatCode="General" sourceLinked="1"/>
        <c:majorTickMark val="none"/>
        <c:minorTickMark val="none"/>
        <c:tickLblPos val="nextTo"/>
        <c:crossAx val="109039616"/>
        <c:crosses val="autoZero"/>
        <c:auto val="1"/>
        <c:lblAlgn val="ctr"/>
        <c:lblOffset val="100"/>
        <c:noMultiLvlLbl val="0"/>
      </c:catAx>
      <c:valAx>
        <c:axId val="109039616"/>
        <c:scaling>
          <c:orientation val="minMax"/>
          <c:max val="0.2"/>
        </c:scaling>
        <c:delete val="0"/>
        <c:axPos val="b"/>
        <c:majorGridlines/>
        <c:numFmt formatCode="0%" sourceLinked="1"/>
        <c:majorTickMark val="none"/>
        <c:minorTickMark val="none"/>
        <c:tickLblPos val="nextTo"/>
        <c:crossAx val="109032576"/>
        <c:crosses val="autoZero"/>
        <c:crossBetween val="between"/>
        <c:majorUnit val="5.000000000000001E-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00"/>
              <a:t>Did the person(s) who did one or more of the </a:t>
            </a:r>
            <a:br>
              <a:rPr lang="en-US" sz="1000"/>
            </a:br>
            <a:r>
              <a:rPr lang="en-US" sz="1000"/>
              <a:t>unwanted behaviors</a:t>
            </a:r>
            <a:r>
              <a:rPr lang="en-US" sz="1000" baseline="0"/>
              <a:t> </a:t>
            </a:r>
            <a:r>
              <a:rPr lang="en-US" sz="1000"/>
              <a:t>do them by… </a:t>
            </a:r>
          </a:p>
        </c:rich>
      </c:tx>
      <c:layout/>
      <c:overlay val="0"/>
    </c:title>
    <c:autoTitleDeleted val="0"/>
    <c:plotArea>
      <c:layout/>
      <c:barChart>
        <c:barDir val="bar"/>
        <c:grouping val="stacked"/>
        <c:varyColors val="0"/>
        <c:ser>
          <c:idx val="0"/>
          <c:order val="0"/>
          <c:tx>
            <c:strRef>
              <c:f>'Perp Behavior'!$S$3</c:f>
              <c:strCache>
                <c:ptCount val="1"/>
                <c:pt idx="0">
                  <c:v>Yes</c:v>
                </c:pt>
              </c:strCache>
            </c:strRef>
          </c:tx>
          <c:spPr>
            <a:solidFill>
              <a:schemeClr val="bg2"/>
            </a:solidFill>
          </c:spPr>
          <c:invertIfNegative val="0"/>
          <c:dPt>
            <c:idx val="6"/>
            <c:invertIfNegative val="0"/>
            <c:bubble3D val="0"/>
            <c:spPr>
              <a:solidFill>
                <a:schemeClr val="bg2"/>
              </a:solidFill>
            </c:spPr>
          </c:dPt>
          <c:dLbls>
            <c:txPr>
              <a:bodyPr/>
              <a:lstStyle/>
              <a:p>
                <a:pPr>
                  <a:defRPr b="1">
                    <a:solidFill>
                      <a:schemeClr val="tx1"/>
                    </a:solidFill>
                  </a:defRPr>
                </a:pPr>
                <a:endParaRPr lang="en-US"/>
              </a:p>
            </c:txPr>
            <c:dLblPos val="inEnd"/>
            <c:showLegendKey val="0"/>
            <c:showVal val="1"/>
            <c:showCatName val="0"/>
            <c:showSerName val="0"/>
            <c:showPercent val="0"/>
            <c:showBubbleSize val="0"/>
            <c:showLeaderLines val="0"/>
          </c:dLbls>
          <c:cat>
            <c:strRef>
              <c:f>'Perp Behavior'!$R$4:$R$10</c:f>
              <c:strCache>
                <c:ptCount val="7"/>
                <c:pt idx="0">
                  <c:v>Threatening you with being outed?</c:v>
                </c:pt>
                <c:pt idx="1">
                  <c:v>Threatening to physically harm you or 
someone close to you?</c:v>
                </c:pt>
                <c:pt idx="2">
                  <c:v>Using force or having a weapon?</c:v>
                </c:pt>
                <c:pt idx="3">
                  <c:v>Telling lies, threatening to end a relationship 
or to spread rumors about you, 
or verbally pressuring you?</c:v>
                </c:pt>
                <c:pt idx="4">
                  <c:v>Showing displeasure, criticizing your sexuality or attractiveness, or getting angry?</c:v>
                </c:pt>
                <c:pt idx="5">
                  <c:v>Taking advantage when you were incapacitated
 (e.g., too drunk, high, asleep, or out of it)?</c:v>
                </c:pt>
                <c:pt idx="6">
                  <c:v>Catching you off guard or ignoring 
non-verbal cues or looks?</c:v>
                </c:pt>
              </c:strCache>
            </c:strRef>
          </c:cat>
          <c:val>
            <c:numRef>
              <c:f>'Perp Behavior'!$S$4:$S$10</c:f>
              <c:numCache>
                <c:formatCode>0%</c:formatCode>
                <c:ptCount val="7"/>
                <c:pt idx="0">
                  <c:v>0.15873015873015872</c:v>
                </c:pt>
                <c:pt idx="1">
                  <c:v>0.22222222222222221</c:v>
                </c:pt>
                <c:pt idx="2">
                  <c:v>0.23809523809523808</c:v>
                </c:pt>
                <c:pt idx="3">
                  <c:v>0.34375</c:v>
                </c:pt>
                <c:pt idx="4">
                  <c:v>0.3968253968253968</c:v>
                </c:pt>
                <c:pt idx="5">
                  <c:v>0.44615384615384618</c:v>
                </c:pt>
                <c:pt idx="6">
                  <c:v>0.609375</c:v>
                </c:pt>
              </c:numCache>
            </c:numRef>
          </c:val>
        </c:ser>
        <c:dLbls>
          <c:showLegendKey val="0"/>
          <c:showVal val="0"/>
          <c:showCatName val="0"/>
          <c:showSerName val="0"/>
          <c:showPercent val="0"/>
          <c:showBubbleSize val="0"/>
        </c:dLbls>
        <c:gapWidth val="75"/>
        <c:overlap val="100"/>
        <c:axId val="116504064"/>
        <c:axId val="116505600"/>
      </c:barChart>
      <c:catAx>
        <c:axId val="116504064"/>
        <c:scaling>
          <c:orientation val="minMax"/>
        </c:scaling>
        <c:delete val="0"/>
        <c:axPos val="l"/>
        <c:majorTickMark val="none"/>
        <c:minorTickMark val="none"/>
        <c:tickLblPos val="nextTo"/>
        <c:crossAx val="116505600"/>
        <c:crosses val="autoZero"/>
        <c:auto val="1"/>
        <c:lblAlgn val="ctr"/>
        <c:lblOffset val="100"/>
        <c:noMultiLvlLbl val="0"/>
      </c:catAx>
      <c:valAx>
        <c:axId val="116505600"/>
        <c:scaling>
          <c:orientation val="minMax"/>
          <c:max val="1"/>
          <c:min val="0"/>
        </c:scaling>
        <c:delete val="0"/>
        <c:axPos val="b"/>
        <c:majorGridlines/>
        <c:numFmt formatCode="0%" sourceLinked="1"/>
        <c:majorTickMark val="none"/>
        <c:minorTickMark val="none"/>
        <c:tickLblPos val="nextTo"/>
        <c:crossAx val="116504064"/>
        <c:crosses val="autoZero"/>
        <c:crossBetween val="between"/>
        <c:majorUnit val="0.2"/>
        <c:minorUnit val="4.0000000000000013E-4"/>
      </c:valAx>
    </c:plotArea>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solidFill>
                  <a:schemeClr val="accent4"/>
                </a:solidFill>
              </a:defRPr>
            </a:pPr>
            <a:r>
              <a:rPr lang="en-US" sz="1000">
                <a:solidFill>
                  <a:schemeClr val="accent4"/>
                </a:solidFill>
              </a:rPr>
              <a:t>Did any of the following thoughts and concerns</a:t>
            </a:r>
            <a:r>
              <a:rPr lang="en-US" sz="1000" baseline="0">
                <a:solidFill>
                  <a:schemeClr val="accent4"/>
                </a:solidFill>
              </a:rPr>
              <a:t> cross your mind when deciding whether to report an incident?</a:t>
            </a:r>
            <a:endParaRPr lang="en-US" sz="1000">
              <a:solidFill>
                <a:schemeClr val="accent4"/>
              </a:solidFill>
            </a:endParaRPr>
          </a:p>
        </c:rich>
      </c:tx>
      <c:layout/>
      <c:overlay val="0"/>
    </c:title>
    <c:autoTitleDeleted val="0"/>
    <c:plotArea>
      <c:layout/>
      <c:barChart>
        <c:barDir val="bar"/>
        <c:grouping val="clustered"/>
        <c:varyColors val="0"/>
        <c:ser>
          <c:idx val="0"/>
          <c:order val="0"/>
          <c:invertIfNegative val="0"/>
          <c:dLbls>
            <c:txPr>
              <a:bodyPr/>
              <a:lstStyle/>
              <a:p>
                <a:pPr>
                  <a:defRPr b="1"/>
                </a:pPr>
                <a:endParaRPr lang="en-US"/>
              </a:p>
            </c:txPr>
            <c:dLblPos val="inEnd"/>
            <c:showLegendKey val="0"/>
            <c:showVal val="1"/>
            <c:showCatName val="0"/>
            <c:showSerName val="0"/>
            <c:showPercent val="0"/>
            <c:showBubbleSize val="0"/>
            <c:showLeaderLines val="0"/>
          </c:dLbls>
          <c:cat>
            <c:strRef>
              <c:f>Reporting!$R$41:$R$46</c:f>
              <c:strCache>
                <c:ptCount val="6"/>
                <c:pt idx="0">
                  <c:v>Feared others would harass me or react negatively toward me</c:v>
                </c:pt>
                <c:pt idx="1">
                  <c:v>Feared that I would not be believed 
or taken seriously</c:v>
                </c:pt>
                <c:pt idx="2">
                  <c:v>Felt ashamed or embarrassed, didn't want anyone to know what happened</c:v>
                </c:pt>
                <c:pt idx="3">
                  <c:v>Wanted to forget it happened</c:v>
                </c:pt>
                <c:pt idx="4">
                  <c:v>Lack of proof that the incident happened</c:v>
                </c:pt>
                <c:pt idx="5">
                  <c:v>Didn't think it was serious enough to report</c:v>
                </c:pt>
              </c:strCache>
            </c:strRef>
          </c:cat>
          <c:val>
            <c:numRef>
              <c:f>Reporting!$S$41:$S$46</c:f>
              <c:numCache>
                <c:formatCode>0%</c:formatCode>
                <c:ptCount val="6"/>
                <c:pt idx="0">
                  <c:v>0.43859649122807015</c:v>
                </c:pt>
                <c:pt idx="1">
                  <c:v>0.45614035087719296</c:v>
                </c:pt>
                <c:pt idx="2">
                  <c:v>0.54385964912280704</c:v>
                </c:pt>
                <c:pt idx="3">
                  <c:v>0.56140350877192979</c:v>
                </c:pt>
                <c:pt idx="4">
                  <c:v>0.57894736842105265</c:v>
                </c:pt>
                <c:pt idx="5">
                  <c:v>0.68421052631578949</c:v>
                </c:pt>
              </c:numCache>
            </c:numRef>
          </c:val>
        </c:ser>
        <c:dLbls>
          <c:showLegendKey val="0"/>
          <c:showVal val="0"/>
          <c:showCatName val="0"/>
          <c:showSerName val="0"/>
          <c:showPercent val="0"/>
          <c:showBubbleSize val="0"/>
        </c:dLbls>
        <c:gapWidth val="75"/>
        <c:axId val="113802240"/>
        <c:axId val="118133504"/>
      </c:barChart>
      <c:catAx>
        <c:axId val="113802240"/>
        <c:scaling>
          <c:orientation val="minMax"/>
        </c:scaling>
        <c:delete val="0"/>
        <c:axPos val="l"/>
        <c:majorTickMark val="none"/>
        <c:minorTickMark val="none"/>
        <c:tickLblPos val="nextTo"/>
        <c:txPr>
          <a:bodyPr/>
          <a:lstStyle/>
          <a:p>
            <a:pPr>
              <a:defRPr>
                <a:solidFill>
                  <a:schemeClr val="accent4"/>
                </a:solidFill>
              </a:defRPr>
            </a:pPr>
            <a:endParaRPr lang="en-US"/>
          </a:p>
        </c:txPr>
        <c:crossAx val="118133504"/>
        <c:crosses val="autoZero"/>
        <c:auto val="1"/>
        <c:lblAlgn val="ctr"/>
        <c:lblOffset val="100"/>
        <c:noMultiLvlLbl val="0"/>
      </c:catAx>
      <c:valAx>
        <c:axId val="118133504"/>
        <c:scaling>
          <c:orientation val="minMax"/>
          <c:max val="0.70000000000000007"/>
          <c:min val="0"/>
        </c:scaling>
        <c:delete val="0"/>
        <c:axPos val="b"/>
        <c:majorGridlines/>
        <c:numFmt formatCode="0%" sourceLinked="1"/>
        <c:majorTickMark val="none"/>
        <c:minorTickMark val="none"/>
        <c:tickLblPos val="nextTo"/>
        <c:crossAx val="113802240"/>
        <c:crosses val="autoZero"/>
        <c:crossBetween val="between"/>
        <c:majorUnit val="0.1"/>
      </c:valAx>
    </c:plotArea>
    <c:plotVisOnly val="0"/>
    <c:dispBlanksAs val="gap"/>
    <c:showDLblsOverMax val="0"/>
  </c:chart>
  <c:spPr>
    <a:ln>
      <a:solidFill>
        <a:schemeClr val="accent4"/>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Did you use the school's formal procedures to report the incident(s)?</a:t>
            </a:r>
          </a:p>
        </c:rich>
      </c:tx>
      <c:layout/>
      <c:overlay val="0"/>
    </c:title>
    <c:autoTitleDeleted val="0"/>
    <c:plotArea>
      <c:layout/>
      <c:doughnutChart>
        <c:varyColors val="1"/>
        <c:ser>
          <c:idx val="0"/>
          <c:order val="0"/>
          <c:tx>
            <c:strRef>
              <c:f>Reporting!$S$30</c:f>
              <c:strCache>
                <c:ptCount val="1"/>
                <c:pt idx="0">
                  <c:v>Percent</c:v>
                </c:pt>
              </c:strCache>
            </c:strRef>
          </c:tx>
          <c:spPr>
            <a:solidFill>
              <a:schemeClr val="tx2"/>
            </a:solidFill>
          </c:spPr>
          <c:dPt>
            <c:idx val="0"/>
            <c:bubble3D val="0"/>
            <c:spPr>
              <a:solidFill>
                <a:schemeClr val="accent2"/>
              </a:solidFill>
            </c:spPr>
          </c:dPt>
          <c:dLbls>
            <c:dLbl>
              <c:idx val="0"/>
              <c:spPr/>
              <c:txPr>
                <a:bodyPr/>
                <a:lstStyle/>
                <a:p>
                  <a:pPr>
                    <a:defRPr b="1">
                      <a:solidFill>
                        <a:schemeClr val="bg1"/>
                      </a:solidFill>
                    </a:defRPr>
                  </a:pPr>
                  <a:endParaRPr lang="en-US"/>
                </a:p>
              </c:txPr>
              <c:showLegendKey val="0"/>
              <c:showVal val="0"/>
              <c:showCatName val="0"/>
              <c:showSerName val="0"/>
              <c:showPercent val="1"/>
              <c:showBubbleSize val="0"/>
            </c:dLbl>
            <c:dLbl>
              <c:idx val="1"/>
              <c:spPr/>
              <c:txPr>
                <a:bodyPr/>
                <a:lstStyle/>
                <a:p>
                  <a:pPr>
                    <a:defRPr b="1">
                      <a:solidFill>
                        <a:schemeClr val="bg1"/>
                      </a:solidFill>
                    </a:defRPr>
                  </a:pPr>
                  <a:endParaRPr lang="en-US"/>
                </a:p>
              </c:txPr>
              <c:showLegendKey val="0"/>
              <c:showVal val="0"/>
              <c:showCatName val="0"/>
              <c:showSerName val="0"/>
              <c:showPercent val="1"/>
              <c:showBubbleSize val="0"/>
            </c:dLbl>
            <c:txPr>
              <a:bodyPr/>
              <a:lstStyle/>
              <a:p>
                <a:pPr>
                  <a:defRPr b="1"/>
                </a:pPr>
                <a:endParaRPr lang="en-US"/>
              </a:p>
            </c:txPr>
            <c:showLegendKey val="0"/>
            <c:showVal val="0"/>
            <c:showCatName val="0"/>
            <c:showSerName val="0"/>
            <c:showPercent val="1"/>
            <c:showBubbleSize val="0"/>
            <c:showLeaderLines val="1"/>
          </c:dLbls>
          <c:cat>
            <c:strRef>
              <c:f>Reporting!$R$31:$R$32</c:f>
              <c:strCache>
                <c:ptCount val="2"/>
                <c:pt idx="0">
                  <c:v>Yes</c:v>
                </c:pt>
                <c:pt idx="1">
                  <c:v>No</c:v>
                </c:pt>
              </c:strCache>
            </c:strRef>
          </c:cat>
          <c:val>
            <c:numRef>
              <c:f>Reporting!$S$31:$S$32</c:f>
              <c:numCache>
                <c:formatCode>0%</c:formatCode>
                <c:ptCount val="2"/>
                <c:pt idx="0">
                  <c:v>5.2631578947368418E-2</c:v>
                </c:pt>
                <c:pt idx="1">
                  <c:v>0.94736842105263153</c:v>
                </c:pt>
              </c:numCache>
            </c:numRef>
          </c:val>
        </c:ser>
        <c:dLbls>
          <c:showLegendKey val="0"/>
          <c:showVal val="0"/>
          <c:showCatName val="0"/>
          <c:showSerName val="0"/>
          <c:showPercent val="1"/>
          <c:showBubbleSize val="0"/>
          <c:showLeaderLines val="1"/>
        </c:dLbls>
        <c:firstSliceAng val="0"/>
        <c:holeSize val="50"/>
      </c:doughnutChart>
    </c:plotArea>
    <c:legend>
      <c:legendPos val="r"/>
      <c:layout>
        <c:manualLayout>
          <c:xMode val="edge"/>
          <c:yMode val="edge"/>
          <c:x val="0.78691906979133952"/>
          <c:y val="0.51213655584718576"/>
          <c:w val="0.12361571556561834"/>
          <c:h val="0.17618500329253056"/>
        </c:manualLayout>
      </c:layout>
      <c:overlay val="0"/>
    </c:legend>
    <c:plotVisOnly val="0"/>
    <c:dispBlanksAs val="gap"/>
    <c:showDLblsOverMax val="0"/>
  </c:chart>
  <c:spPr>
    <a:ln>
      <a:solidFill>
        <a:schemeClr val="accent4"/>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Has anyone frightened, concerned,</a:t>
            </a:r>
            <a:r>
              <a:rPr lang="en-US" sz="1000" baseline="0"/>
              <a:t> angered, or annoyed you by...</a:t>
            </a:r>
            <a:endParaRPr lang="en-US" sz="1000"/>
          </a:p>
        </c:rich>
      </c:tx>
      <c:layout/>
      <c:overlay val="0"/>
    </c:title>
    <c:autoTitleDeleted val="0"/>
    <c:plotArea>
      <c:layout/>
      <c:barChart>
        <c:barDir val="bar"/>
        <c:grouping val="clustered"/>
        <c:varyColors val="0"/>
        <c:ser>
          <c:idx val="0"/>
          <c:order val="0"/>
          <c:spPr>
            <a:solidFill>
              <a:schemeClr val="accent1"/>
            </a:solidFill>
          </c:spPr>
          <c:invertIfNegative val="0"/>
          <c:dPt>
            <c:idx val="4"/>
            <c:invertIfNegative val="0"/>
            <c:bubble3D val="0"/>
            <c:spPr>
              <a:solidFill>
                <a:schemeClr val="accent1"/>
              </a:solidFill>
            </c:spPr>
          </c:dPt>
          <c:dPt>
            <c:idx val="5"/>
            <c:invertIfNegative val="0"/>
            <c:bubble3D val="0"/>
            <c:spPr>
              <a:solidFill>
                <a:schemeClr val="accent1"/>
              </a:solidFill>
            </c:spPr>
          </c:dPt>
          <c:dPt>
            <c:idx val="6"/>
            <c:invertIfNegative val="0"/>
            <c:bubble3D val="0"/>
            <c:spPr>
              <a:solidFill>
                <a:schemeClr val="accent1"/>
              </a:solidFill>
            </c:spPr>
          </c:dPt>
          <c:dPt>
            <c:idx val="7"/>
            <c:invertIfNegative val="0"/>
            <c:bubble3D val="0"/>
            <c:spPr>
              <a:solidFill>
                <a:schemeClr val="accent1"/>
              </a:solidFill>
            </c:spPr>
          </c:dPt>
          <c:dLbls>
            <c:txPr>
              <a:bodyPr/>
              <a:lstStyle/>
              <a:p>
                <a:pPr>
                  <a:defRPr b="1">
                    <a:solidFill>
                      <a:schemeClr val="tx1"/>
                    </a:solidFill>
                  </a:defRPr>
                </a:pPr>
                <a:endParaRPr lang="en-US"/>
              </a:p>
            </c:txPr>
            <c:dLblPos val="inEnd"/>
            <c:showLegendKey val="0"/>
            <c:showVal val="1"/>
            <c:showCatName val="0"/>
            <c:showSerName val="0"/>
            <c:showPercent val="0"/>
            <c:showBubbleSize val="0"/>
            <c:showLeaderLines val="0"/>
          </c:dLbls>
          <c:cat>
            <c:strRef>
              <c:f>'Stalking and Harassment'!$N$4:$N$11</c:f>
              <c:strCache>
                <c:ptCount val="8"/>
                <c:pt idx="0">
                  <c:v>Threatening in an online environment to physically harm you</c:v>
                </c:pt>
                <c:pt idx="1">
                  <c:v>Sharing personal photos of you 
without your permission</c:v>
                </c:pt>
                <c:pt idx="2">
                  <c:v>Posting offensive or abusive comments on your social media profile(s), blog, or other online space</c:v>
                </c:pt>
                <c:pt idx="3">
                  <c:v>Exposing personal information or spreading rumors about you on the Internet, in a public place, or by word of mouth</c:v>
                </c:pt>
                <c:pt idx="4">
                  <c:v>Showing up at places where you were even though he or she had no business being there</c:v>
                </c:pt>
                <c:pt idx="5">
                  <c:v>Sending unwanted e-mails or other forms of written correspondence or communication</c:v>
                </c:pt>
                <c:pt idx="6">
                  <c:v>Repeatedly asking you on dates, to go to dinner, or get a drink even after you've said no</c:v>
                </c:pt>
                <c:pt idx="7">
                  <c:v>Making unwanted phone calls to you 
or leaving messages</c:v>
                </c:pt>
              </c:strCache>
            </c:strRef>
          </c:cat>
          <c:val>
            <c:numRef>
              <c:f>'Stalking and Harassment'!$O$4:$O$11</c:f>
              <c:numCache>
                <c:formatCode>0%</c:formatCode>
                <c:ptCount val="8"/>
                <c:pt idx="0">
                  <c:v>9.3896713615023476E-3</c:v>
                </c:pt>
                <c:pt idx="1">
                  <c:v>1.6431924882629109E-2</c:v>
                </c:pt>
                <c:pt idx="2">
                  <c:v>2.2691705790297341E-2</c:v>
                </c:pt>
                <c:pt idx="3">
                  <c:v>4.9295774647887321E-2</c:v>
                </c:pt>
                <c:pt idx="4">
                  <c:v>5.8685446009389672E-2</c:v>
                </c:pt>
                <c:pt idx="5">
                  <c:v>7.746478873239436E-2</c:v>
                </c:pt>
                <c:pt idx="6">
                  <c:v>9.3114241001564943E-2</c:v>
                </c:pt>
                <c:pt idx="7">
                  <c:v>9.467918622848201E-2</c:v>
                </c:pt>
              </c:numCache>
            </c:numRef>
          </c:val>
        </c:ser>
        <c:dLbls>
          <c:showLegendKey val="0"/>
          <c:showVal val="0"/>
          <c:showCatName val="0"/>
          <c:showSerName val="0"/>
          <c:showPercent val="0"/>
          <c:showBubbleSize val="0"/>
        </c:dLbls>
        <c:gapWidth val="75"/>
        <c:axId val="120414208"/>
        <c:axId val="120415744"/>
      </c:barChart>
      <c:catAx>
        <c:axId val="120414208"/>
        <c:scaling>
          <c:orientation val="minMax"/>
        </c:scaling>
        <c:delete val="0"/>
        <c:axPos val="l"/>
        <c:majorTickMark val="none"/>
        <c:minorTickMark val="none"/>
        <c:tickLblPos val="nextTo"/>
        <c:crossAx val="120415744"/>
        <c:crosses val="autoZero"/>
        <c:auto val="1"/>
        <c:lblAlgn val="ctr"/>
        <c:lblOffset val="100"/>
        <c:noMultiLvlLbl val="0"/>
      </c:catAx>
      <c:valAx>
        <c:axId val="120415744"/>
        <c:scaling>
          <c:orientation val="minMax"/>
          <c:max val="0.2"/>
          <c:min val="0"/>
        </c:scaling>
        <c:delete val="0"/>
        <c:axPos val="b"/>
        <c:majorGridlines/>
        <c:numFmt formatCode="0%" sourceLinked="1"/>
        <c:majorTickMark val="out"/>
        <c:minorTickMark val="none"/>
        <c:tickLblPos val="nextTo"/>
        <c:crossAx val="120414208"/>
        <c:crosses val="autoZero"/>
        <c:crossBetween val="between"/>
        <c:majorUnit val="5.000000000000001E-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Number of respondents who had</a:t>
            </a:r>
            <a:r>
              <a:rPr lang="en-US" sz="1000" baseline="0"/>
              <a:t> a partner and </a:t>
            </a:r>
            <a:r>
              <a:rPr lang="en-US" sz="1000"/>
              <a:t>experienced intimate partner violence</a:t>
            </a:r>
          </a:p>
        </c:rich>
      </c:tx>
      <c:layout/>
      <c:overlay val="0"/>
    </c:title>
    <c:autoTitleDeleted val="0"/>
    <c:plotArea>
      <c:layout/>
      <c:doughnutChart>
        <c:varyColors val="1"/>
        <c:ser>
          <c:idx val="1"/>
          <c:order val="0"/>
          <c:dPt>
            <c:idx val="0"/>
            <c:bubble3D val="0"/>
            <c:spPr>
              <a:solidFill>
                <a:schemeClr val="tx2"/>
              </a:solidFill>
            </c:spPr>
          </c:dPt>
          <c:dLbls>
            <c:txPr>
              <a:bodyPr/>
              <a:lstStyle/>
              <a:p>
                <a:pPr>
                  <a:defRPr b="1">
                    <a:solidFill>
                      <a:schemeClr val="bg1"/>
                    </a:solidFill>
                  </a:defRPr>
                </a:pPr>
                <a:endParaRPr lang="en-US"/>
              </a:p>
            </c:txPr>
            <c:showLegendKey val="0"/>
            <c:showVal val="1"/>
            <c:showCatName val="0"/>
            <c:showSerName val="0"/>
            <c:showPercent val="0"/>
            <c:showBubbleSize val="0"/>
            <c:showLeaderLines val="1"/>
          </c:dLbls>
          <c:cat>
            <c:strRef>
              <c:f>'Intimate Partner Violence'!$N$6:$N$7</c:f>
              <c:strCache>
                <c:ptCount val="2"/>
                <c:pt idx="0">
                  <c:v>Yes</c:v>
                </c:pt>
                <c:pt idx="1">
                  <c:v>No</c:v>
                </c:pt>
              </c:strCache>
            </c:strRef>
          </c:cat>
          <c:val>
            <c:numRef>
              <c:f>'Intimate Partner Violence'!$P$6:$P$7</c:f>
              <c:numCache>
                <c:formatCode>General</c:formatCode>
                <c:ptCount val="2"/>
                <c:pt idx="0">
                  <c:v>71</c:v>
                </c:pt>
                <c:pt idx="1">
                  <c:v>930</c:v>
                </c:pt>
              </c:numCache>
            </c:numRef>
          </c:val>
        </c:ser>
        <c:dLbls>
          <c:showLegendKey val="0"/>
          <c:showVal val="0"/>
          <c:showCatName val="0"/>
          <c:showSerName val="0"/>
          <c:showPercent val="0"/>
          <c:showBubbleSize val="0"/>
          <c:showLeaderLines val="1"/>
        </c:dLbls>
        <c:firstSliceAng val="0"/>
        <c:holeSize val="50"/>
      </c:doughnutChart>
    </c:plotArea>
    <c:legend>
      <c:legendPos val="r"/>
      <c:layout/>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000" b="0"/>
            </a:pPr>
            <a:r>
              <a:rPr lang="en-US" sz="1000" b="1"/>
              <a:t>Percent of respondents that</a:t>
            </a:r>
            <a:r>
              <a:rPr lang="en-US" sz="1000" b="1" baseline="0"/>
              <a:t> </a:t>
            </a:r>
            <a:r>
              <a:rPr lang="en-US" sz="1000" b="1"/>
              <a:t>rated themselves</a:t>
            </a:r>
            <a:r>
              <a:rPr lang="en-US" sz="1000" b="1" baseline="0"/>
              <a:t> and their peers </a:t>
            </a:r>
            <a:r>
              <a:rPr lang="en-US" sz="1000" b="1"/>
              <a:t>as likely/very likely to engage in the following behaviors...</a:t>
            </a:r>
          </a:p>
        </c:rich>
      </c:tx>
      <c:layout/>
      <c:overlay val="0"/>
    </c:title>
    <c:autoTitleDeleted val="0"/>
    <c:plotArea>
      <c:layout/>
      <c:barChart>
        <c:barDir val="bar"/>
        <c:grouping val="clustered"/>
        <c:varyColors val="0"/>
        <c:ser>
          <c:idx val="2"/>
          <c:order val="0"/>
          <c:tx>
            <c:strRef>
              <c:f>'Community Behaviors'!$Q$12</c:f>
              <c:strCache>
                <c:ptCount val="1"/>
                <c:pt idx="0">
                  <c:v>Peers</c:v>
                </c:pt>
              </c:strCache>
            </c:strRef>
          </c:tx>
          <c:spPr>
            <a:solidFill>
              <a:schemeClr val="accent6"/>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'Community Behaviors'!$N$13:$N$16</c:f>
              <c:strCache>
                <c:ptCount val="4"/>
                <c:pt idx="0">
                  <c:v>Express discomfort if someone says that sexual assault victims are to blame for being assaulted</c:v>
                </c:pt>
                <c:pt idx="1">
                  <c:v>Confront a friend who says that they had sex with someone who was passed out or didn't give consent</c:v>
                </c:pt>
                <c:pt idx="2">
                  <c:v>Ask someone who looks very upset at a party if they are ok or need help</c:v>
                </c:pt>
                <c:pt idx="3">
                  <c:v>Decide not to have sex with someone if they are drunk</c:v>
                </c:pt>
              </c:strCache>
            </c:strRef>
          </c:cat>
          <c:val>
            <c:numRef>
              <c:f>'Community Behaviors'!$Q$13:$Q$16</c:f>
              <c:numCache>
                <c:formatCode>0%</c:formatCode>
                <c:ptCount val="4"/>
                <c:pt idx="0">
                  <c:v>0</c:v>
                </c:pt>
                <c:pt idx="1">
                  <c:v>0</c:v>
                </c:pt>
                <c:pt idx="2">
                  <c:v>0</c:v>
                </c:pt>
                <c:pt idx="3">
                  <c:v>0</c:v>
                </c:pt>
              </c:numCache>
            </c:numRef>
          </c:val>
        </c:ser>
        <c:ser>
          <c:idx val="3"/>
          <c:order val="1"/>
          <c:tx>
            <c:strRef>
              <c:f>'Community Behaviors'!$R$12</c:f>
              <c:strCache>
                <c:ptCount val="1"/>
                <c:pt idx="0">
                  <c:v>Self</c:v>
                </c:pt>
              </c:strCache>
            </c:strRef>
          </c:tx>
          <c:spPr>
            <a:solidFill>
              <a:schemeClr val="accent1"/>
            </a:solidFill>
          </c:spPr>
          <c:invertIfNegative val="0"/>
          <c:dLbls>
            <c:txPr>
              <a:bodyPr/>
              <a:lstStyle/>
              <a:p>
                <a:pPr>
                  <a:defRPr b="1"/>
                </a:pPr>
                <a:endParaRPr lang="en-US"/>
              </a:p>
            </c:txPr>
            <c:dLblPos val="inEnd"/>
            <c:showLegendKey val="0"/>
            <c:showVal val="1"/>
            <c:showCatName val="0"/>
            <c:showSerName val="0"/>
            <c:showPercent val="0"/>
            <c:showBubbleSize val="0"/>
            <c:showLeaderLines val="0"/>
          </c:dLbls>
          <c:cat>
            <c:strRef>
              <c:f>'Community Behaviors'!$N$13:$N$16</c:f>
              <c:strCache>
                <c:ptCount val="4"/>
                <c:pt idx="0">
                  <c:v>Express discomfort if someone says that sexual assault victims are to blame for being assaulted</c:v>
                </c:pt>
                <c:pt idx="1">
                  <c:v>Confront a friend who says that they had sex with someone who was passed out or didn't give consent</c:v>
                </c:pt>
                <c:pt idx="2">
                  <c:v>Ask someone who looks very upset at a party if they are ok or need help</c:v>
                </c:pt>
                <c:pt idx="3">
                  <c:v>Decide not to have sex with someone if they are drunk</c:v>
                </c:pt>
              </c:strCache>
            </c:strRef>
          </c:cat>
          <c:val>
            <c:numRef>
              <c:f>'Community Behaviors'!$R$13:$R$16</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75"/>
        <c:axId val="120775040"/>
        <c:axId val="120776576"/>
      </c:barChart>
      <c:catAx>
        <c:axId val="120775040"/>
        <c:scaling>
          <c:orientation val="minMax"/>
        </c:scaling>
        <c:delete val="0"/>
        <c:axPos val="l"/>
        <c:majorTickMark val="none"/>
        <c:minorTickMark val="none"/>
        <c:tickLblPos val="nextTo"/>
        <c:crossAx val="120776576"/>
        <c:crosses val="autoZero"/>
        <c:auto val="1"/>
        <c:lblAlgn val="ctr"/>
        <c:lblOffset val="100"/>
        <c:noMultiLvlLbl val="0"/>
      </c:catAx>
      <c:valAx>
        <c:axId val="120776576"/>
        <c:scaling>
          <c:orientation val="minMax"/>
        </c:scaling>
        <c:delete val="0"/>
        <c:axPos val="b"/>
        <c:majorGridlines/>
        <c:numFmt formatCode="0%" sourceLinked="1"/>
        <c:majorTickMark val="out"/>
        <c:minorTickMark val="none"/>
        <c:tickLblPos val="nextTo"/>
        <c:crossAx val="120775040"/>
        <c:crosses val="autoZero"/>
        <c:crossBetween val="between"/>
        <c:majorUnit val="0.2"/>
      </c:val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Percent of respondents who agreed/strongly agreed with the following statements</a:t>
            </a:r>
          </a:p>
        </c:rich>
      </c:tx>
      <c:layout/>
      <c:overlay val="0"/>
    </c:title>
    <c:autoTitleDeleted val="0"/>
    <c:plotArea>
      <c:layout/>
      <c:barChart>
        <c:barDir val="bar"/>
        <c:grouping val="stacked"/>
        <c:varyColors val="0"/>
        <c:ser>
          <c:idx val="0"/>
          <c:order val="0"/>
          <c:tx>
            <c:strRef>
              <c:f>'Community Attitudes'!$O$5</c:f>
              <c:strCache>
                <c:ptCount val="1"/>
                <c:pt idx="0">
                  <c:v>Percent Agreed/
Strongly Agreed</c:v>
                </c:pt>
              </c:strCache>
            </c:strRef>
          </c:tx>
          <c:invertIfNegative val="0"/>
          <c:dPt>
            <c:idx val="4"/>
            <c:invertIfNegative val="0"/>
            <c:bubble3D val="0"/>
            <c:spPr>
              <a:solidFill>
                <a:schemeClr val="accent1"/>
              </a:solidFill>
            </c:spPr>
          </c:dPt>
          <c:dPt>
            <c:idx val="5"/>
            <c:invertIfNegative val="0"/>
            <c:bubble3D val="0"/>
            <c:spPr>
              <a:solidFill>
                <a:schemeClr val="accent1"/>
              </a:solidFill>
              <a:ln>
                <a:noFill/>
              </a:ln>
            </c:spPr>
          </c:dPt>
          <c:dPt>
            <c:idx val="6"/>
            <c:invertIfNegative val="0"/>
            <c:bubble3D val="0"/>
            <c:spPr>
              <a:solidFill>
                <a:schemeClr val="accent1"/>
              </a:solidFill>
            </c:spPr>
          </c:dPt>
          <c:dPt>
            <c:idx val="7"/>
            <c:invertIfNegative val="0"/>
            <c:bubble3D val="0"/>
            <c:spPr>
              <a:solidFill>
                <a:schemeClr val="accent1"/>
              </a:solidFill>
            </c:spPr>
          </c:dPt>
          <c:dPt>
            <c:idx val="8"/>
            <c:invertIfNegative val="0"/>
            <c:bubble3D val="0"/>
            <c:spPr>
              <a:solidFill>
                <a:schemeClr val="tx2"/>
              </a:solidFill>
            </c:spPr>
          </c:dPt>
          <c:dPt>
            <c:idx val="9"/>
            <c:invertIfNegative val="0"/>
            <c:bubble3D val="0"/>
            <c:spPr>
              <a:solidFill>
                <a:schemeClr val="tx2"/>
              </a:solidFill>
            </c:spPr>
          </c:dPt>
          <c:dPt>
            <c:idx val="10"/>
            <c:invertIfNegative val="0"/>
            <c:bubble3D val="0"/>
            <c:spPr>
              <a:solidFill>
                <a:schemeClr val="tx2"/>
              </a:solidFill>
            </c:spPr>
          </c:dPt>
          <c:dLbls>
            <c:txPr>
              <a:bodyPr/>
              <a:lstStyle/>
              <a:p>
                <a:pPr>
                  <a:defRPr b="1"/>
                </a:pPr>
                <a:endParaRPr lang="en-US"/>
              </a:p>
            </c:txPr>
            <c:dLblPos val="inBase"/>
            <c:showLegendKey val="0"/>
            <c:showVal val="1"/>
            <c:showCatName val="0"/>
            <c:showSerName val="0"/>
            <c:showPercent val="0"/>
            <c:showBubbleSize val="0"/>
            <c:showLeaderLines val="0"/>
          </c:dLbls>
          <c:cat>
            <c:strRef>
              <c:f>'Community Attitudes'!$N$6:$N$15</c:f>
              <c:strCache>
                <c:ptCount val="10"/>
                <c:pt idx="0">
                  <c:v>A lot of times, women who say they were raped agreed to have sex and then regretted it afterward.</c:v>
                </c:pt>
                <c:pt idx="1">
                  <c:v>A person who is sexually assaulted or raped while she or he is drunk is at least somewhat responsible for putting themselves in that position.</c:v>
                </c:pt>
                <c:pt idx="2">
                  <c:v>An incident can only be sexual assault or rape if the person says "no."</c:v>
                </c:pt>
                <c:pt idx="3">
                  <c:v>If a woman hooks up with a lot of men, eventually she is going to get into trouble.</c:v>
                </c:pt>
                <c:pt idx="4">
                  <c:v>It is not necessary to get consent before sexual activity if you are in a relationship with that person.</c:v>
                </c:pt>
                <c:pt idx="5">
                  <c:v>It shouldn't be considered rape if a man is drunk and didn't realize what he was doing.</c:v>
                </c:pt>
                <c:pt idx="6">
                  <c:v>Rape and sexual violence can happen unintentionally, especially if alcohol is involved.</c:v>
                </c:pt>
                <c:pt idx="7">
                  <c:v>Sexual violence and rape happen because men can get carried away in sexual situations once they've started.</c:v>
                </c:pt>
                <c:pt idx="8">
                  <c:v>Sexual violence and rape happen because people put themselves in bad situations.</c:v>
                </c:pt>
                <c:pt idx="9">
                  <c:v>When someone is raped or sexually assaulted, its often because the way they said no was unclear or there was some miscommunication.</c:v>
                </c:pt>
              </c:strCache>
            </c:strRef>
          </c:cat>
          <c:val>
            <c:numRef>
              <c:f>'Community Attitudes'!$O$6:$O$15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'Community Attitudes'!$P$5</c:f>
              <c:strCache>
                <c:ptCount val="1"/>
                <c:pt idx="0">
                  <c:v>Percent Unsure</c:v>
                </c:pt>
              </c:strCache>
            </c:strRef>
          </c:tx>
          <c:invertIfNegative val="0"/>
          <c:dLbls>
            <c:dLbl>
              <c:idx val="0"/>
              <c:layout>
                <c:manualLayout>
                  <c:x val="2.2515310639057613E-2"/>
                  <c:y val="0"/>
                </c:manualLayout>
              </c:layout>
              <c:dLblPos val="ctr"/>
              <c:showLegendKey val="0"/>
              <c:showVal val="1"/>
              <c:showCatName val="0"/>
              <c:showSerName val="0"/>
              <c:showPercent val="0"/>
              <c:showBubbleSize val="0"/>
            </c:dLbl>
            <c:dLbl>
              <c:idx val="1"/>
              <c:layout>
                <c:manualLayout>
                  <c:x val="3.470942331940978E-2"/>
                  <c:y val="0"/>
                </c:manualLayout>
              </c:layout>
              <c:dLblPos val="ctr"/>
              <c:showLegendKey val="0"/>
              <c:showVal val="1"/>
              <c:showCatName val="0"/>
              <c:showSerName val="0"/>
              <c:showPercent val="0"/>
              <c:showBubbleSize val="0"/>
            </c:dLbl>
            <c:dLbl>
              <c:idx val="2"/>
              <c:layout>
                <c:manualLayout>
                  <c:x val="2.3861791377315891E-2"/>
                  <c:y val="0"/>
                </c:manualLayout>
              </c:layout>
              <c:dLblPos val="ctr"/>
              <c:showLegendKey val="0"/>
              <c:showVal val="1"/>
              <c:showCatName val="0"/>
              <c:showSerName val="0"/>
              <c:showPercent val="0"/>
              <c:showBubbleSize val="0"/>
            </c:dLbl>
            <c:dLbl>
              <c:idx val="3"/>
              <c:layout>
                <c:manualLayout>
                  <c:x val="2.9700338293986588E-2"/>
                  <c:y val="8.2073950568216699E-3"/>
                </c:manualLayout>
              </c:layout>
              <c:dLblPos val="ctr"/>
              <c:showLegendKey val="0"/>
              <c:showVal val="1"/>
              <c:showCatName val="0"/>
              <c:showSerName val="0"/>
              <c:showPercent val="0"/>
              <c:showBubbleSize val="0"/>
            </c:dLbl>
            <c:dLbl>
              <c:idx val="4"/>
              <c:layout>
                <c:manualLayout>
                  <c:x val="2.4823878831611797E-2"/>
                  <c:y val="0"/>
                </c:manualLayout>
              </c:layout>
              <c:dLblPos val="ctr"/>
              <c:showLegendKey val="0"/>
              <c:showVal val="1"/>
              <c:showCatName val="0"/>
              <c:showSerName val="0"/>
              <c:showPercent val="0"/>
              <c:showBubbleSize val="0"/>
            </c:dLbl>
            <c:txPr>
              <a:bodyPr/>
              <a:lstStyle/>
              <a:p>
                <a:pPr>
                  <a:defRPr b="1"/>
                </a:pPr>
                <a:endParaRPr lang="en-US"/>
              </a:p>
            </c:txPr>
            <c:dLblPos val="inBase"/>
            <c:showLegendKey val="0"/>
            <c:showVal val="1"/>
            <c:showCatName val="0"/>
            <c:showSerName val="0"/>
            <c:showPercent val="0"/>
            <c:showBubbleSize val="0"/>
            <c:showLeaderLines val="0"/>
          </c:dLbls>
          <c:cat>
            <c:strRef>
              <c:f>'Community Attitudes'!$N$6:$N$15</c:f>
              <c:strCache>
                <c:ptCount val="10"/>
                <c:pt idx="0">
                  <c:v>A lot of times, women who say they were raped agreed to have sex and then regretted it afterward.</c:v>
                </c:pt>
                <c:pt idx="1">
                  <c:v>A person who is sexually assaulted or raped while she or he is drunk is at least somewhat responsible for putting themselves in that position.</c:v>
                </c:pt>
                <c:pt idx="2">
                  <c:v>An incident can only be sexual assault or rape if the person says "no."</c:v>
                </c:pt>
                <c:pt idx="3">
                  <c:v>If a woman hooks up with a lot of men, eventually she is going to get into trouble.</c:v>
                </c:pt>
                <c:pt idx="4">
                  <c:v>It is not necessary to get consent before sexual activity if you are in a relationship with that person.</c:v>
                </c:pt>
                <c:pt idx="5">
                  <c:v>It shouldn't be considered rape if a man is drunk and didn't realize what he was doing.</c:v>
                </c:pt>
                <c:pt idx="6">
                  <c:v>Rape and sexual violence can happen unintentionally, especially if alcohol is involved.</c:v>
                </c:pt>
                <c:pt idx="7">
                  <c:v>Sexual violence and rape happen because men can get carried away in sexual situations once they've started.</c:v>
                </c:pt>
                <c:pt idx="8">
                  <c:v>Sexual violence and rape happen because people put themselves in bad situations.</c:v>
                </c:pt>
                <c:pt idx="9">
                  <c:v>When someone is raped or sexually assaulted, its often because the way they said no was unclear or there was some miscommunication.</c:v>
                </c:pt>
              </c:strCache>
            </c:strRef>
          </c:cat>
          <c:val>
            <c:numRef>
              <c:f>'Community Attitudes'!$P$6:$P$15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5"/>
        <c:overlap val="100"/>
        <c:axId val="120978816"/>
        <c:axId val="121066624"/>
      </c:barChart>
      <c:catAx>
        <c:axId val="120978816"/>
        <c:scaling>
          <c:orientation val="minMax"/>
        </c:scaling>
        <c:delete val="0"/>
        <c:axPos val="l"/>
        <c:majorTickMark val="none"/>
        <c:minorTickMark val="none"/>
        <c:tickLblPos val="nextTo"/>
        <c:crossAx val="121066624"/>
        <c:crosses val="autoZero"/>
        <c:auto val="1"/>
        <c:lblAlgn val="ctr"/>
        <c:lblOffset val="100"/>
        <c:noMultiLvlLbl val="0"/>
      </c:catAx>
      <c:valAx>
        <c:axId val="121066624"/>
        <c:scaling>
          <c:orientation val="minMax"/>
          <c:max val="1"/>
        </c:scaling>
        <c:delete val="0"/>
        <c:axPos val="b"/>
        <c:majorGridlines/>
        <c:numFmt formatCode="0%" sourceLinked="0"/>
        <c:majorTickMark val="none"/>
        <c:minorTickMark val="none"/>
        <c:tickLblPos val="nextTo"/>
        <c:crossAx val="120978816"/>
        <c:crosses val="autoZero"/>
        <c:crossBetween val="between"/>
        <c:majorUnit val="0.2"/>
      </c:val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How much of a problem is</a:t>
            </a:r>
            <a:r>
              <a:rPr lang="en-US" sz="1000" baseline="0"/>
              <a:t> </a:t>
            </a:r>
            <a:r>
              <a:rPr lang="en-US" sz="1000"/>
              <a:t>sexual</a:t>
            </a:r>
            <a:r>
              <a:rPr lang="en-US" sz="1000" baseline="0"/>
              <a:t> misconduct at your school? </a:t>
            </a:r>
          </a:p>
        </c:rich>
      </c:tx>
      <c:overlay val="0"/>
    </c:title>
    <c:autoTitleDeleted val="0"/>
    <c:plotArea>
      <c:layout/>
      <c:barChart>
        <c:barDir val="bar"/>
        <c:grouping val="clustered"/>
        <c:varyColors val="0"/>
        <c:ser>
          <c:idx val="0"/>
          <c:order val="0"/>
          <c:tx>
            <c:strRef>
              <c:f>'Community Attitudes'!$O$72</c:f>
              <c:strCache>
                <c:ptCount val="1"/>
                <c:pt idx="0">
                  <c:v>Percent</c:v>
                </c:pt>
              </c:strCache>
            </c:strRef>
          </c:tx>
          <c:spPr>
            <a:solidFill>
              <a:schemeClr val="accent1"/>
            </a:solidFill>
          </c:spPr>
          <c:invertIfNegative val="0"/>
          <c:dPt>
            <c:idx val="0"/>
            <c:invertIfNegative val="0"/>
            <c:bubble3D val="0"/>
          </c:dPt>
          <c:dPt>
            <c:idx val="1"/>
            <c:invertIfNegative val="0"/>
            <c:bubble3D val="0"/>
          </c:dPt>
          <c:dPt>
            <c:idx val="2"/>
            <c:invertIfNegative val="0"/>
            <c:bubble3D val="0"/>
          </c:dPt>
          <c:dPt>
            <c:idx val="3"/>
            <c:invertIfNegative val="0"/>
            <c:bubble3D val="0"/>
            <c:spPr>
              <a:solidFill>
                <a:schemeClr val="tx2"/>
              </a:solidFill>
            </c:spPr>
          </c:dPt>
          <c:dLbls>
            <c:dLbl>
              <c:idx val="3"/>
              <c:spPr/>
              <c:txPr>
                <a:bodyPr/>
                <a:lstStyle/>
                <a:p>
                  <a:pPr>
                    <a:defRPr b="1">
                      <a:solidFill>
                        <a:schemeClr val="bg1"/>
                      </a:solidFill>
                    </a:defRPr>
                  </a:pPr>
                  <a:endParaRPr lang="en-US"/>
                </a:p>
              </c:txPr>
              <c:dLblPos val="inEnd"/>
              <c:showLegendKey val="0"/>
              <c:showVal val="1"/>
              <c:showCatName val="0"/>
              <c:showSerName val="0"/>
              <c:showPercent val="0"/>
              <c:showBubbleSize val="0"/>
            </c:dLbl>
            <c:txPr>
              <a:bodyPr/>
              <a:lstStyle/>
              <a:p>
                <a:pPr>
                  <a:defRPr b="1">
                    <a:solidFill>
                      <a:schemeClr val="tx1"/>
                    </a:solidFill>
                  </a:defRPr>
                </a:pPr>
                <a:endParaRPr lang="en-US"/>
              </a:p>
            </c:txPr>
            <c:dLblPos val="inEnd"/>
            <c:showLegendKey val="0"/>
            <c:showVal val="1"/>
            <c:showCatName val="0"/>
            <c:showSerName val="0"/>
            <c:showPercent val="0"/>
            <c:showBubbleSize val="0"/>
            <c:showLeaderLines val="0"/>
          </c:dLbls>
          <c:cat>
            <c:strRef>
              <c:f>'Community Attitudes'!$N$73:$N$76</c:f>
              <c:strCache>
                <c:ptCount val="4"/>
                <c:pt idx="0">
                  <c:v>I don't know</c:v>
                </c:pt>
                <c:pt idx="1">
                  <c:v>It's not really a problem</c:v>
                </c:pt>
                <c:pt idx="2">
                  <c:v>It's somewhat of a problem</c:v>
                </c:pt>
                <c:pt idx="3">
                  <c:v>It's definitely a problem</c:v>
                </c:pt>
              </c:strCache>
            </c:strRef>
          </c:cat>
          <c:val>
            <c:numRef>
              <c:f>'Community Attitudes'!$O$73:$O$76</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75"/>
        <c:overlap val="-25"/>
        <c:axId val="120812288"/>
        <c:axId val="120810496"/>
      </c:barChart>
      <c:valAx>
        <c:axId val="120810496"/>
        <c:scaling>
          <c:orientation val="minMax"/>
          <c:max val="0.5"/>
          <c:min val="0"/>
        </c:scaling>
        <c:delete val="0"/>
        <c:axPos val="b"/>
        <c:majorGridlines/>
        <c:numFmt formatCode="0%" sourceLinked="1"/>
        <c:majorTickMark val="out"/>
        <c:minorTickMark val="none"/>
        <c:tickLblPos val="nextTo"/>
        <c:crossAx val="120812288"/>
        <c:crosses val="autoZero"/>
        <c:crossBetween val="between"/>
        <c:majorUnit val="0.1"/>
      </c:valAx>
      <c:catAx>
        <c:axId val="120812288"/>
        <c:scaling>
          <c:orientation val="minMax"/>
        </c:scaling>
        <c:delete val="0"/>
        <c:axPos val="l"/>
        <c:numFmt formatCode="General" sourceLinked="1"/>
        <c:majorTickMark val="none"/>
        <c:minorTickMark val="none"/>
        <c:tickLblPos val="nextTo"/>
        <c:crossAx val="120810496"/>
        <c:crosses val="autoZero"/>
        <c:auto val="1"/>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b="1"/>
            </a:pPr>
            <a:r>
              <a:rPr lang="en-US" sz="1000" b="1"/>
              <a:t>Class Standing</a:t>
            </a:r>
          </a:p>
        </c:rich>
      </c:tx>
      <c:layout/>
      <c:overlay val="0"/>
    </c:title>
    <c:autoTitleDeleted val="0"/>
    <c:plotArea>
      <c:layout/>
      <c:pieChart>
        <c:varyColors val="1"/>
        <c:ser>
          <c:idx val="0"/>
          <c:order val="0"/>
          <c:dLbls>
            <c:dLbl>
              <c:idx val="0"/>
              <c:layout>
                <c:manualLayout>
                  <c:x val="-8.7904191563971376E-2"/>
                  <c:y val="0.15844074392609883"/>
                </c:manualLayout>
              </c:layout>
              <c:dLblPos val="bestFit"/>
              <c:showLegendKey val="0"/>
              <c:showVal val="1"/>
              <c:showCatName val="0"/>
              <c:showSerName val="0"/>
              <c:showPercent val="0"/>
              <c:showBubbleSize val="0"/>
            </c:dLbl>
            <c:dLbl>
              <c:idx val="1"/>
              <c:layout>
                <c:manualLayout>
                  <c:x val="-0.1443289470580936"/>
                  <c:y val="1.3588951971678462E-2"/>
                </c:manualLayout>
              </c:layout>
              <c:dLblPos val="bestFit"/>
              <c:showLegendKey val="0"/>
              <c:showVal val="1"/>
              <c:showCatName val="0"/>
              <c:showSerName val="0"/>
              <c:showPercent val="0"/>
              <c:showBubbleSize val="0"/>
            </c:dLbl>
            <c:dLbl>
              <c:idx val="2"/>
              <c:layout>
                <c:manualLayout>
                  <c:x val="-8.5297951002060265E-2"/>
                  <c:y val="-0.19229579605750036"/>
                </c:manualLayout>
              </c:layout>
              <c:dLblPos val="bestFit"/>
              <c:showLegendKey val="0"/>
              <c:showVal val="1"/>
              <c:showCatName val="0"/>
              <c:showSerName val="0"/>
              <c:showPercent val="0"/>
              <c:showBubbleSize val="0"/>
            </c:dLbl>
            <c:dLbl>
              <c:idx val="3"/>
              <c:layout>
                <c:manualLayout>
                  <c:x val="0.13400670031297371"/>
                  <c:y val="-0.11686420119949369"/>
                </c:manualLayout>
              </c:layout>
              <c:tx>
                <c:rich>
                  <a:bodyPr/>
                  <a:lstStyle/>
                  <a:p>
                    <a:r>
                      <a:rPr lang="en-US" b="1">
                        <a:solidFill>
                          <a:schemeClr val="bg1"/>
                        </a:solidFill>
                      </a:rPr>
                      <a:t>20%</a:t>
                    </a:r>
                    <a:endParaRPr lang="en-US">
                      <a:solidFill>
                        <a:schemeClr val="bg1"/>
                      </a:solidFill>
                    </a:endParaRPr>
                  </a:p>
                </c:rich>
              </c:tx>
              <c:dLblPos val="bestFit"/>
              <c:showLegendKey val="0"/>
              <c:showVal val="1"/>
              <c:showCatName val="0"/>
              <c:showSerName val="0"/>
              <c:showPercent val="0"/>
              <c:showBubbleSize val="0"/>
            </c:dLbl>
            <c:dLbl>
              <c:idx val="4"/>
              <c:layout>
                <c:manualLayout>
                  <c:x val="0.11731851702619664"/>
                  <c:y val="0.13863252576568441"/>
                </c:manualLayout>
              </c:layout>
              <c:tx>
                <c:rich>
                  <a:bodyPr/>
                  <a:lstStyle/>
                  <a:p>
                    <a:r>
                      <a:rPr lang="en-US" b="1">
                        <a:solidFill>
                          <a:schemeClr val="bg1"/>
                        </a:solidFill>
                      </a:rPr>
                      <a:t>16%</a:t>
                    </a:r>
                    <a:endParaRPr lang="en-US">
                      <a:solidFill>
                        <a:schemeClr val="bg1"/>
                      </a:solidFill>
                    </a:endParaRPr>
                  </a:p>
                </c:rich>
              </c:tx>
              <c:dLblPos val="bestFit"/>
              <c:showLegendKey val="0"/>
              <c:showVal val="1"/>
              <c:showCatName val="0"/>
              <c:showSerName val="0"/>
              <c:showPercent val="0"/>
              <c:showBubbleSize val="0"/>
            </c:dLbl>
            <c:dLbl>
              <c:idx val="5"/>
              <c:layout>
                <c:manualLayout>
                  <c:x val="4.4626579553928174E-2"/>
                  <c:y val="0.17800466311028312"/>
                </c:manualLayout>
              </c:layout>
              <c:dLblPos val="bestFit"/>
              <c:showLegendKey val="0"/>
              <c:showVal val="1"/>
              <c:showCatName val="0"/>
              <c:showSerName val="0"/>
              <c:showPercent val="0"/>
              <c:showBubbleSize val="0"/>
            </c:dLbl>
            <c:txPr>
              <a:bodyPr/>
              <a:lstStyle/>
              <a:p>
                <a:pPr>
                  <a:defRPr b="1">
                    <a:solidFill>
                      <a:schemeClr val="bg1"/>
                    </a:solidFill>
                  </a:defRPr>
                </a:pPr>
                <a:endParaRPr lang="en-US"/>
              </a:p>
            </c:txPr>
            <c:dLblPos val="ctr"/>
            <c:showLegendKey val="0"/>
            <c:showVal val="1"/>
            <c:showCatName val="0"/>
            <c:showSerName val="0"/>
            <c:showPercent val="0"/>
            <c:showBubbleSize val="0"/>
            <c:showLeaderLines val="1"/>
          </c:dLbls>
          <c:cat>
            <c:strRef>
              <c:f>Demos!$S$3:$S$8</c:f>
              <c:strCache>
                <c:ptCount val="6"/>
                <c:pt idx="0">
                  <c:v>First year student</c:v>
                </c:pt>
                <c:pt idx="1">
                  <c:v>Second year student</c:v>
                </c:pt>
                <c:pt idx="2">
                  <c:v>Third year student</c:v>
                </c:pt>
                <c:pt idx="3">
                  <c:v>Fourth year student</c:v>
                </c:pt>
                <c:pt idx="4">
                  <c:v>Fifth year (or higher) student</c:v>
                </c:pt>
                <c:pt idx="5">
                  <c:v>Graduate or professional student</c:v>
                </c:pt>
              </c:strCache>
            </c:strRef>
          </c:cat>
          <c:val>
            <c:numRef>
              <c:f>Demos!$T$3:$T$8</c:f>
              <c:numCache>
                <c:formatCode>0%</c:formatCode>
                <c:ptCount val="6"/>
                <c:pt idx="0">
                  <c:v>0.16807670614777215</c:v>
                </c:pt>
                <c:pt idx="1">
                  <c:v>0.14664410603496897</c:v>
                </c:pt>
                <c:pt idx="2">
                  <c:v>0.23857868020304568</c:v>
                </c:pt>
                <c:pt idx="3">
                  <c:v>0.21150592216582065</c:v>
                </c:pt>
                <c:pt idx="4">
                  <c:v>0.16356457980823463</c:v>
                </c:pt>
                <c:pt idx="5">
                  <c:v>7.1630005640157923E-2</c:v>
                </c:pt>
              </c:numCache>
            </c:numRef>
          </c:val>
        </c:ser>
        <c:dLbls>
          <c:dLblPos val="ctr"/>
          <c:showLegendKey val="0"/>
          <c:showVal val="0"/>
          <c:showCatName val="0"/>
          <c:showSerName val="0"/>
          <c:showPercent val="1"/>
          <c:showBubbleSize val="0"/>
          <c:showLeaderLines val="1"/>
        </c:dLbls>
        <c:firstSliceAng val="0"/>
      </c:pieChart>
    </c:plotArea>
    <c:legend>
      <c:legendPos val="r"/>
      <c:layout>
        <c:manualLayout>
          <c:xMode val="edge"/>
          <c:yMode val="edge"/>
          <c:x val="0.61652171336483297"/>
          <c:y val="0.13804276198633875"/>
          <c:w val="0.36667804711505636"/>
          <c:h val="0.82008259170582265"/>
        </c:manualLayout>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Residence</a:t>
            </a:r>
          </a:p>
        </c:rich>
      </c:tx>
      <c:layout/>
      <c:overlay val="0"/>
    </c:title>
    <c:autoTitleDeleted val="0"/>
    <c:plotArea>
      <c:layout/>
      <c:pieChart>
        <c:varyColors val="1"/>
        <c:ser>
          <c:idx val="0"/>
          <c:order val="0"/>
          <c:dPt>
            <c:idx val="0"/>
            <c:bubble3D val="0"/>
            <c:spPr>
              <a:solidFill>
                <a:schemeClr val="bg2"/>
              </a:solidFill>
            </c:spPr>
          </c:dPt>
          <c:dPt>
            <c:idx val="3"/>
            <c:bubble3D val="0"/>
            <c:spPr>
              <a:solidFill>
                <a:schemeClr val="accent5"/>
              </a:solidFill>
            </c:spPr>
          </c:dPt>
          <c:dLbls>
            <c:dLbl>
              <c:idx val="0"/>
              <c:layout>
                <c:manualLayout>
                  <c:x val="-0.15768001174292928"/>
                  <c:y val="-1.1654918409856534E-2"/>
                </c:manualLayout>
              </c:layout>
              <c:dLblPos val="bestFit"/>
              <c:showLegendKey val="0"/>
              <c:showVal val="1"/>
              <c:showCatName val="0"/>
              <c:showSerName val="0"/>
              <c:showPercent val="0"/>
              <c:showBubbleSize val="0"/>
            </c:dLbl>
            <c:dLbl>
              <c:idx val="1"/>
              <c:layout>
                <c:manualLayout>
                  <c:x val="0.17057636491621672"/>
                  <c:y val="-2.0872561653346895E-3"/>
                </c:manualLayout>
              </c:layout>
              <c:dLblPos val="bestFit"/>
              <c:showLegendKey val="0"/>
              <c:showVal val="1"/>
              <c:showCatName val="0"/>
              <c:showSerName val="0"/>
              <c:showPercent val="0"/>
              <c:showBubbleSize val="0"/>
            </c:dLbl>
            <c:txPr>
              <a:bodyPr/>
              <a:lstStyle/>
              <a:p>
                <a:pPr>
                  <a:defRPr b="1"/>
                </a:pPr>
                <a:endParaRPr lang="en-US"/>
              </a:p>
            </c:txPr>
            <c:dLblPos val="bestFit"/>
            <c:showLegendKey val="0"/>
            <c:showVal val="1"/>
            <c:showCatName val="0"/>
            <c:showSerName val="0"/>
            <c:showPercent val="0"/>
            <c:showBubbleSize val="0"/>
            <c:showLeaderLines val="1"/>
          </c:dLbls>
          <c:cat>
            <c:strRef>
              <c:f>Demos!$S$12:$S$15</c:f>
              <c:strCache>
                <c:ptCount val="4"/>
                <c:pt idx="0">
                  <c:v>Off-campus apartment/house</c:v>
                </c:pt>
                <c:pt idx="1">
                  <c:v>At home with family </c:v>
                </c:pt>
                <c:pt idx="2">
                  <c:v>Residence hall</c:v>
                </c:pt>
                <c:pt idx="3">
                  <c:v>Other</c:v>
                </c:pt>
              </c:strCache>
            </c:strRef>
          </c:cat>
          <c:val>
            <c:numRef>
              <c:f>Demos!$T$12:$T$15</c:f>
              <c:numCache>
                <c:formatCode>0%</c:formatCode>
                <c:ptCount val="4"/>
                <c:pt idx="0">
                  <c:v>0.52142051860202931</c:v>
                </c:pt>
                <c:pt idx="1">
                  <c:v>0.45264937993235627</c:v>
                </c:pt>
                <c:pt idx="2">
                  <c:v>1.8602029312288614E-2</c:v>
                </c:pt>
                <c:pt idx="3">
                  <c:v>7.328072153325817E-3</c:v>
                </c:pt>
              </c:numCache>
            </c:numRef>
          </c:val>
        </c:ser>
        <c:dLbls>
          <c:dLblPos val="bestFit"/>
          <c:showLegendKey val="0"/>
          <c:showVal val="0"/>
          <c:showCatName val="0"/>
          <c:showSerName val="0"/>
          <c:showPercent val="1"/>
          <c:showBubbleSize val="0"/>
          <c:showLeaderLines val="1"/>
        </c:dLbls>
        <c:firstSliceAng val="0"/>
      </c:pieChart>
    </c:plotArea>
    <c:legend>
      <c:legendPos val="r"/>
      <c:layout>
        <c:manualLayout>
          <c:xMode val="edge"/>
          <c:yMode val="edge"/>
          <c:x val="0.63129796957610351"/>
          <c:y val="0.14440427096309166"/>
          <c:w val="0.35083008478682848"/>
          <c:h val="0.85559572903690839"/>
        </c:manualLayout>
      </c:layout>
      <c:overlay val="0"/>
    </c:legend>
    <c:plotVisOnly val="0"/>
    <c:dispBlanksAs val="gap"/>
    <c:showDLblsOverMax val="0"/>
  </c:chart>
  <c:spPr>
    <a:ln>
      <a:solidFill>
        <a:schemeClr val="accent4"/>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Percent of respondents who agreed/strongly agreed</a:t>
            </a:r>
            <a:r>
              <a:rPr lang="en-US" sz="1000" baseline="0"/>
              <a:t> that if </a:t>
            </a:r>
            <a:r>
              <a:rPr lang="en-US" sz="1000"/>
              <a:t>someone were to report an incident of sexual violence...</a:t>
            </a:r>
          </a:p>
        </c:rich>
      </c:tx>
      <c:layout/>
      <c:overlay val="0"/>
    </c:title>
    <c:autoTitleDeleted val="0"/>
    <c:plotArea>
      <c:layout/>
      <c:barChart>
        <c:barDir val="bar"/>
        <c:grouping val="clustered"/>
        <c:varyColors val="0"/>
        <c:ser>
          <c:idx val="0"/>
          <c:order val="0"/>
          <c:invertIfNegative val="0"/>
          <c:dPt>
            <c:idx val="0"/>
            <c:invertIfNegative val="0"/>
            <c:bubble3D val="0"/>
            <c:spPr>
              <a:solidFill>
                <a:schemeClr val="accent1"/>
              </a:solidFill>
            </c:spPr>
          </c:dPt>
          <c:dPt>
            <c:idx val="1"/>
            <c:invertIfNegative val="0"/>
            <c:bubble3D val="0"/>
            <c:spPr>
              <a:solidFill>
                <a:schemeClr val="tx2"/>
              </a:solidFill>
            </c:spPr>
          </c:dPt>
          <c:dLbls>
            <c:dLbl>
              <c:idx val="0"/>
              <c:spPr/>
              <c:txPr>
                <a:bodyPr/>
                <a:lstStyle/>
                <a:p>
                  <a:pPr>
                    <a:defRPr b="1">
                      <a:solidFill>
                        <a:schemeClr val="tx1"/>
                      </a:solidFill>
                    </a:defRPr>
                  </a:pPr>
                  <a:endParaRPr lang="en-US"/>
                </a:p>
              </c:txPr>
              <c:dLblPos val="inEnd"/>
              <c:showLegendKey val="0"/>
              <c:showVal val="1"/>
              <c:showCatName val="0"/>
              <c:showSerName val="0"/>
              <c:showPercent val="0"/>
              <c:showBubbleSize val="0"/>
            </c:dLbl>
            <c:dLbl>
              <c:idx val="1"/>
              <c:spPr/>
              <c:txPr>
                <a:bodyPr/>
                <a:lstStyle/>
                <a:p>
                  <a:pPr>
                    <a:defRPr b="1">
                      <a:solidFill>
                        <a:schemeClr val="bg1"/>
                      </a:solidFill>
                    </a:defRPr>
                  </a:pPr>
                  <a:endParaRPr lang="en-US"/>
                </a:p>
              </c:txPr>
              <c:dLblPos val="inEnd"/>
              <c:showLegendKey val="0"/>
              <c:showVal val="1"/>
              <c:showCatName val="0"/>
              <c:showSerName val="0"/>
              <c:showPercent val="0"/>
              <c:showBubbleSize val="0"/>
            </c:dLbl>
            <c:txPr>
              <a:bodyPr/>
              <a:lstStyle/>
              <a:p>
                <a:pPr>
                  <a:defRPr b="1"/>
                </a:pPr>
                <a:endParaRPr lang="en-US"/>
              </a:p>
            </c:txPr>
            <c:dLblPos val="inEnd"/>
            <c:showLegendKey val="0"/>
            <c:showVal val="1"/>
            <c:showCatName val="0"/>
            <c:showSerName val="0"/>
            <c:showPercent val="0"/>
            <c:showBubbleSize val="0"/>
            <c:showLeaderLines val="0"/>
          </c:dLbls>
          <c:cat>
            <c:strRef>
              <c:f>'Climate and Harassment'!$P$12:$P$15</c:f>
              <c:strCache>
                <c:ptCount val="4"/>
                <c:pt idx="0">
                  <c:v>The educational achievement/career of the person making the report would suffer.</c:v>
                </c:pt>
                <c:pt idx="1">
                  <c:v>The accused or their friends would retaliate against the person making the report.</c:v>
                </c:pt>
                <c:pt idx="2">
                  <c:v>The school would take steps to protect the person making the report from retaliation.</c:v>
                </c:pt>
                <c:pt idx="3">
                  <c:v>The school would take the report seriously.</c:v>
                </c:pt>
              </c:strCache>
            </c:strRef>
          </c:cat>
          <c:val>
            <c:numRef>
              <c:f>'Climate and Harassment'!$Q$12:$Q$15</c:f>
              <c:numCache>
                <c:formatCode>0%</c:formatCode>
                <c:ptCount val="4"/>
                <c:pt idx="0">
                  <c:v>0.28492647058823528</c:v>
                </c:pt>
                <c:pt idx="1">
                  <c:v>0.34497549019607843</c:v>
                </c:pt>
                <c:pt idx="2">
                  <c:v>0.76117575015309247</c:v>
                </c:pt>
                <c:pt idx="3">
                  <c:v>0.85522296884544902</c:v>
                </c:pt>
              </c:numCache>
            </c:numRef>
          </c:val>
        </c:ser>
        <c:dLbls>
          <c:showLegendKey val="0"/>
          <c:showVal val="0"/>
          <c:showCatName val="0"/>
          <c:showSerName val="0"/>
          <c:showPercent val="0"/>
          <c:showBubbleSize val="0"/>
        </c:dLbls>
        <c:gapWidth val="75"/>
        <c:axId val="109754624"/>
        <c:axId val="109760512"/>
      </c:barChart>
      <c:catAx>
        <c:axId val="109754624"/>
        <c:scaling>
          <c:orientation val="minMax"/>
        </c:scaling>
        <c:delete val="0"/>
        <c:axPos val="l"/>
        <c:majorTickMark val="none"/>
        <c:minorTickMark val="none"/>
        <c:tickLblPos val="nextTo"/>
        <c:crossAx val="109760512"/>
        <c:crosses val="autoZero"/>
        <c:auto val="1"/>
        <c:lblAlgn val="l"/>
        <c:lblOffset val="100"/>
        <c:noMultiLvlLbl val="0"/>
      </c:catAx>
      <c:valAx>
        <c:axId val="109760512"/>
        <c:scaling>
          <c:orientation val="minMax"/>
          <c:max val="1"/>
        </c:scaling>
        <c:delete val="0"/>
        <c:axPos val="b"/>
        <c:majorGridlines/>
        <c:numFmt formatCode="0%" sourceLinked="1"/>
        <c:majorTickMark val="none"/>
        <c:minorTickMark val="none"/>
        <c:tickLblPos val="nextTo"/>
        <c:crossAx val="109754624"/>
        <c:crosses val="autoZero"/>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aseline="0"/>
              <a:t>Percent of respondents who agreed/strongly agreed with the following statements...</a:t>
            </a:r>
            <a:endParaRPr lang="en-US" sz="1000"/>
          </a:p>
        </c:rich>
      </c:tx>
      <c:layout/>
      <c:overlay val="0"/>
    </c:title>
    <c:autoTitleDeleted val="0"/>
    <c:plotArea>
      <c:layout>
        <c:manualLayout>
          <c:layoutTarget val="inner"/>
          <c:xMode val="edge"/>
          <c:yMode val="edge"/>
          <c:x val="0.47455308720415712"/>
          <c:y val="0.21522756322730621"/>
          <c:w val="0.48526916123957126"/>
          <c:h val="0.66159899702212255"/>
        </c:manualLayout>
      </c:layout>
      <c:barChart>
        <c:barDir val="bar"/>
        <c:grouping val="clustered"/>
        <c:varyColors val="0"/>
        <c:ser>
          <c:idx val="0"/>
          <c:order val="0"/>
          <c:tx>
            <c:strRef>
              <c:f>'Climate and Harassment'!$Q$1</c:f>
              <c:strCache>
                <c:ptCount val="1"/>
                <c:pt idx="0">
                  <c:v>Strongly Agree/Agree</c:v>
                </c:pt>
              </c:strCache>
            </c:strRef>
          </c:tx>
          <c:spPr>
            <a:solidFill>
              <a:schemeClr val="accent1"/>
            </a:solidFill>
          </c:spPr>
          <c:invertIfNegative val="0"/>
          <c:dLbls>
            <c:txPr>
              <a:bodyPr/>
              <a:lstStyle/>
              <a:p>
                <a:pPr>
                  <a:defRPr b="1">
                    <a:solidFill>
                      <a:schemeClr val="tx1"/>
                    </a:solidFill>
                  </a:defRPr>
                </a:pPr>
                <a:endParaRPr lang="en-US"/>
              </a:p>
            </c:txPr>
            <c:dLblPos val="inEnd"/>
            <c:showLegendKey val="0"/>
            <c:showVal val="1"/>
            <c:showCatName val="0"/>
            <c:showSerName val="0"/>
            <c:showPercent val="0"/>
            <c:showBubbleSize val="0"/>
            <c:showLeaderLines val="0"/>
          </c:dLbls>
          <c:cat>
            <c:strRef>
              <c:f>'Climate and Harassment'!$P$3:$P$6</c:f>
              <c:strCache>
                <c:ptCount val="4"/>
                <c:pt idx="0">
                  <c:v>I feel close to people at this school.</c:v>
                </c:pt>
                <c:pt idx="1">
                  <c:v>I think administrators are genuinely concerned about my welfare.</c:v>
                </c:pt>
                <c:pt idx="2">
                  <c:v>I feel safe at this school.</c:v>
                </c:pt>
                <c:pt idx="3">
                  <c:v>I think faculty are genuinely concerned about my welfare.</c:v>
                </c:pt>
              </c:strCache>
            </c:strRef>
          </c:cat>
          <c:val>
            <c:numRef>
              <c:f>'Climate and Harassment'!$Q$3:$Q$6</c:f>
              <c:numCache>
                <c:formatCode>0%</c:formatCode>
                <c:ptCount val="4"/>
                <c:pt idx="0">
                  <c:v>0.51292596944770863</c:v>
                </c:pt>
                <c:pt idx="1">
                  <c:v>0.76232394366197187</c:v>
                </c:pt>
                <c:pt idx="2">
                  <c:v>0.8661186142102173</c:v>
                </c:pt>
                <c:pt idx="3">
                  <c:v>0.87448680351906161</c:v>
                </c:pt>
              </c:numCache>
            </c:numRef>
          </c:val>
        </c:ser>
        <c:dLbls>
          <c:showLegendKey val="0"/>
          <c:showVal val="0"/>
          <c:showCatName val="0"/>
          <c:showSerName val="0"/>
          <c:showPercent val="0"/>
          <c:showBubbleSize val="0"/>
        </c:dLbls>
        <c:gapWidth val="75"/>
        <c:axId val="109782528"/>
        <c:axId val="109784064"/>
      </c:barChart>
      <c:catAx>
        <c:axId val="109782528"/>
        <c:scaling>
          <c:orientation val="minMax"/>
        </c:scaling>
        <c:delete val="0"/>
        <c:axPos val="l"/>
        <c:majorTickMark val="none"/>
        <c:minorTickMark val="none"/>
        <c:tickLblPos val="nextTo"/>
        <c:crossAx val="109784064"/>
        <c:crosses val="autoZero"/>
        <c:auto val="1"/>
        <c:lblAlgn val="ctr"/>
        <c:lblOffset val="100"/>
        <c:noMultiLvlLbl val="0"/>
      </c:catAx>
      <c:valAx>
        <c:axId val="109784064"/>
        <c:scaling>
          <c:orientation val="minMax"/>
          <c:max val="1"/>
        </c:scaling>
        <c:delete val="0"/>
        <c:axPos val="b"/>
        <c:majorGridlines/>
        <c:numFmt formatCode="0%" sourceLinked="1"/>
        <c:majorTickMark val="out"/>
        <c:minorTickMark val="none"/>
        <c:tickLblPos val="nextTo"/>
        <c:crossAx val="109782528"/>
        <c:crosses val="autoZero"/>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Percent of respondents who agreed/strongly agreed with the following...</a:t>
            </a:r>
          </a:p>
        </c:rich>
      </c:tx>
      <c:layout/>
      <c:overlay val="0"/>
    </c:title>
    <c:autoTitleDeleted val="0"/>
    <c:plotArea>
      <c:layout/>
      <c:barChart>
        <c:barDir val="bar"/>
        <c:grouping val="clustered"/>
        <c:varyColors val="0"/>
        <c:ser>
          <c:idx val="0"/>
          <c:order val="0"/>
          <c:tx>
            <c:strRef>
              <c:f>'Prevention Training'!$P$18</c:f>
              <c:strCache>
                <c:ptCount val="1"/>
                <c:pt idx="0">
                  <c:v>Percent</c:v>
                </c:pt>
              </c:strCache>
            </c:strRef>
          </c:tx>
          <c:invertIfNegative val="0"/>
          <c:dPt>
            <c:idx val="0"/>
            <c:invertIfNegative val="0"/>
            <c:bubble3D val="0"/>
            <c:spPr>
              <a:solidFill>
                <a:schemeClr val="tx2"/>
              </a:solidFill>
            </c:spPr>
          </c:dPt>
          <c:dLbls>
            <c:dLbl>
              <c:idx val="0"/>
              <c:spPr/>
              <c:txPr>
                <a:bodyPr/>
                <a:lstStyle/>
                <a:p>
                  <a:pPr>
                    <a:defRPr b="1">
                      <a:solidFill>
                        <a:schemeClr val="bg1"/>
                      </a:solidFill>
                    </a:defRPr>
                  </a:pPr>
                  <a:endParaRPr lang="en-US"/>
                </a:p>
              </c:txPr>
              <c:dLblPos val="inEnd"/>
              <c:showLegendKey val="0"/>
              <c:showVal val="1"/>
              <c:showCatName val="0"/>
              <c:showSerName val="0"/>
              <c:showPercent val="0"/>
              <c:showBubbleSize val="0"/>
            </c:dLbl>
            <c:txPr>
              <a:bodyPr/>
              <a:lstStyle/>
              <a:p>
                <a:pPr>
                  <a:defRPr b="1"/>
                </a:pPr>
                <a:endParaRPr lang="en-US"/>
              </a:p>
            </c:txPr>
            <c:dLblPos val="inEnd"/>
            <c:showLegendKey val="0"/>
            <c:showVal val="1"/>
            <c:showCatName val="0"/>
            <c:showSerName val="0"/>
            <c:showPercent val="0"/>
            <c:showBubbleSize val="0"/>
            <c:showLeaderLines val="0"/>
          </c:dLbls>
          <c:cat>
            <c:strRef>
              <c:f>'Prevention Training'!$O$19:$O$22</c:f>
              <c:strCache>
                <c:ptCount val="4"/>
                <c:pt idx="0">
                  <c:v>I understand my school's formal procedures to address 
complaints of sexual violence.</c:v>
                </c:pt>
                <c:pt idx="1">
                  <c:v>I know what confidential resources 
(e.g., victim advocacy, counseling) 
are available to me to report an 
incident of sexual violence.</c:v>
                </c:pt>
                <c:pt idx="2">
                  <c:v>If a friend or I experienced sexual violence, I would know where to go to get help.</c:v>
                </c:pt>
                <c:pt idx="3">
                  <c:v>I am confident my school would administer the formal procedures to fairly address reports of sexual violence.</c:v>
                </c:pt>
              </c:strCache>
            </c:strRef>
          </c:cat>
          <c:val>
            <c:numRef>
              <c:f>'Prevention Training'!$P$19:$P$22</c:f>
              <c:numCache>
                <c:formatCode>0%</c:formatCode>
                <c:ptCount val="4"/>
                <c:pt idx="0">
                  <c:v>0.3948087431693989</c:v>
                </c:pt>
                <c:pt idx="1">
                  <c:v>0.65710382513661203</c:v>
                </c:pt>
                <c:pt idx="2">
                  <c:v>0.72256305385139741</c:v>
                </c:pt>
                <c:pt idx="3">
                  <c:v>0.84368600682593853</c:v>
                </c:pt>
              </c:numCache>
            </c:numRef>
          </c:val>
        </c:ser>
        <c:dLbls>
          <c:showLegendKey val="0"/>
          <c:showVal val="0"/>
          <c:showCatName val="0"/>
          <c:showSerName val="0"/>
          <c:showPercent val="0"/>
          <c:showBubbleSize val="0"/>
        </c:dLbls>
        <c:gapWidth val="75"/>
        <c:axId val="113465600"/>
        <c:axId val="113479680"/>
      </c:barChart>
      <c:catAx>
        <c:axId val="113465600"/>
        <c:scaling>
          <c:orientation val="minMax"/>
        </c:scaling>
        <c:delete val="0"/>
        <c:axPos val="l"/>
        <c:majorTickMark val="none"/>
        <c:minorTickMark val="none"/>
        <c:tickLblPos val="nextTo"/>
        <c:crossAx val="113479680"/>
        <c:crosses val="autoZero"/>
        <c:auto val="1"/>
        <c:lblAlgn val="ctr"/>
        <c:lblOffset val="100"/>
        <c:noMultiLvlLbl val="0"/>
      </c:catAx>
      <c:valAx>
        <c:axId val="113479680"/>
        <c:scaling>
          <c:orientation val="minMax"/>
        </c:scaling>
        <c:delete val="0"/>
        <c:axPos val="b"/>
        <c:majorGridlines/>
        <c:numFmt formatCode="0%" sourceLinked="0"/>
        <c:majorTickMark val="none"/>
        <c:minorTickMark val="none"/>
        <c:tickLblPos val="nextTo"/>
        <c:crossAx val="113465600"/>
        <c:crosses val="autoZero"/>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a:pPr>
            <a:r>
              <a:rPr lang="en-US" sz="1000"/>
              <a:t>Have you received sexual violence prevention information or training? </a:t>
            </a:r>
          </a:p>
        </c:rich>
      </c:tx>
      <c:layout>
        <c:manualLayout>
          <c:xMode val="edge"/>
          <c:yMode val="edge"/>
          <c:x val="0.15569812334069674"/>
          <c:y val="5.415316729590515E-2"/>
        </c:manualLayout>
      </c:layout>
      <c:overlay val="0"/>
    </c:title>
    <c:autoTitleDeleted val="0"/>
    <c:plotArea>
      <c:layout/>
      <c:doughnutChart>
        <c:varyColors val="1"/>
        <c:ser>
          <c:idx val="0"/>
          <c:order val="0"/>
          <c:dPt>
            <c:idx val="1"/>
            <c:bubble3D val="0"/>
            <c:spPr>
              <a:solidFill>
                <a:schemeClr val="tx2"/>
              </a:solidFill>
            </c:spPr>
          </c:dPt>
          <c:dPt>
            <c:idx val="2"/>
            <c:bubble3D val="0"/>
            <c:spPr>
              <a:solidFill>
                <a:schemeClr val="accent1"/>
              </a:solidFill>
            </c:spPr>
          </c:dPt>
          <c:dLbls>
            <c:dLbl>
              <c:idx val="2"/>
              <c:spPr/>
              <c:txPr>
                <a:bodyPr/>
                <a:lstStyle/>
                <a:p>
                  <a:pPr>
                    <a:defRPr b="1">
                      <a:solidFill>
                        <a:schemeClr val="accent4"/>
                      </a:solidFill>
                    </a:defRPr>
                  </a:pPr>
                  <a:endParaRPr lang="en-US"/>
                </a:p>
              </c:txPr>
              <c:showLegendKey val="0"/>
              <c:showVal val="1"/>
              <c:showCatName val="0"/>
              <c:showSerName val="0"/>
              <c:showPercent val="0"/>
              <c:showBubbleSize val="0"/>
            </c:dLbl>
            <c:txPr>
              <a:bodyPr/>
              <a:lstStyle/>
              <a:p>
                <a:pPr>
                  <a:defRPr b="1">
                    <a:solidFill>
                      <a:schemeClr val="bg1"/>
                    </a:solidFill>
                  </a:defRPr>
                </a:pPr>
                <a:endParaRPr lang="en-US"/>
              </a:p>
            </c:txPr>
            <c:showLegendKey val="0"/>
            <c:showVal val="1"/>
            <c:showCatName val="0"/>
            <c:showSerName val="0"/>
            <c:showPercent val="0"/>
            <c:showBubbleSize val="0"/>
            <c:showLeaderLines val="1"/>
          </c:dLbls>
          <c:cat>
            <c:strRef>
              <c:f>'Prevention Training'!$O$3:$O$5</c:f>
              <c:strCache>
                <c:ptCount val="3"/>
                <c:pt idx="0">
                  <c:v>Yes</c:v>
                </c:pt>
                <c:pt idx="1">
                  <c:v>No</c:v>
                </c:pt>
                <c:pt idx="2">
                  <c:v>I do not recall</c:v>
                </c:pt>
              </c:strCache>
            </c:strRef>
          </c:cat>
          <c:val>
            <c:numRef>
              <c:f>'Prevention Training'!$P$3:$P$5</c:f>
              <c:numCache>
                <c:formatCode>0%</c:formatCode>
                <c:ptCount val="3"/>
                <c:pt idx="0">
                  <c:v>0.40573770491803279</c:v>
                </c:pt>
                <c:pt idx="1">
                  <c:v>0.37636612021857924</c:v>
                </c:pt>
                <c:pt idx="2">
                  <c:v>0.21789617486338797</c:v>
                </c:pt>
              </c:numCache>
            </c:numRef>
          </c:val>
        </c:ser>
        <c:dLbls>
          <c:showLegendKey val="0"/>
          <c:showVal val="0"/>
          <c:showCatName val="0"/>
          <c:showSerName val="0"/>
          <c:showPercent val="1"/>
          <c:showBubbleSize val="0"/>
          <c:showLeaderLines val="1"/>
        </c:dLbls>
        <c:firstSliceAng val="0"/>
        <c:holeSize val="50"/>
      </c:doughnutChart>
    </c:plotArea>
    <c:legend>
      <c:legendPos val="r"/>
      <c:layout/>
      <c:overlay val="0"/>
    </c:legend>
    <c:plotVisOnly val="0"/>
    <c:dispBlanksAs val="gap"/>
    <c:showDLblsOverMax val="0"/>
  </c:chart>
  <c:spPr>
    <a:ln>
      <a:solidFill>
        <a:schemeClr val="accent4"/>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Has anyone</a:t>
            </a:r>
            <a:r>
              <a:rPr lang="en-US" sz="1000" baseline="0"/>
              <a:t> had or attempted to have unwanted sexual contact with you prior to going to college?</a:t>
            </a:r>
            <a:endParaRPr lang="en-US" sz="1000"/>
          </a:p>
        </c:rich>
      </c:tx>
      <c:layout/>
      <c:overlay val="0"/>
    </c:title>
    <c:autoTitleDeleted val="0"/>
    <c:plotArea>
      <c:layout/>
      <c:doughnutChart>
        <c:varyColors val="1"/>
        <c:ser>
          <c:idx val="0"/>
          <c:order val="0"/>
          <c:dPt>
            <c:idx val="0"/>
            <c:bubble3D val="0"/>
            <c:spPr>
              <a:solidFill>
                <a:schemeClr val="tx2"/>
              </a:solidFill>
            </c:spPr>
          </c:dPt>
          <c:dLbls>
            <c:dLbl>
              <c:idx val="0"/>
              <c:layout>
                <c:manualLayout>
                  <c:x val="9.5580115798696991E-3"/>
                  <c:y val="0"/>
                </c:manualLayout>
              </c:layout>
              <c:showLegendKey val="0"/>
              <c:showVal val="0"/>
              <c:showCatName val="0"/>
              <c:showSerName val="0"/>
              <c:showPercent val="1"/>
              <c:showBubbleSize val="0"/>
            </c:dLbl>
            <c:dLbl>
              <c:idx val="2"/>
              <c:layout>
                <c:manualLayout>
                  <c:x val="-2.3895028949674248E-3"/>
                  <c:y val="-1.4525158833183697E-2"/>
                </c:manualLayout>
              </c:layout>
              <c:showLegendKey val="0"/>
              <c:showVal val="0"/>
              <c:showCatName val="0"/>
              <c:showSerName val="0"/>
              <c:showPercent val="1"/>
              <c:showBubbleSize val="0"/>
            </c:dLbl>
            <c:txPr>
              <a:bodyPr/>
              <a:lstStyle/>
              <a:p>
                <a:pPr>
                  <a:defRPr b="1">
                    <a:solidFill>
                      <a:schemeClr val="bg1"/>
                    </a:solidFill>
                  </a:defRPr>
                </a:pPr>
                <a:endParaRPr lang="en-US"/>
              </a:p>
            </c:txPr>
            <c:showLegendKey val="0"/>
            <c:showVal val="0"/>
            <c:showCatName val="0"/>
            <c:showSerName val="0"/>
            <c:showPercent val="1"/>
            <c:showBubbleSize val="0"/>
            <c:showLeaderLines val="1"/>
          </c:dLbls>
          <c:cat>
            <c:strRef>
              <c:f>'SV Experiences'!$P$15:$P$17</c:f>
              <c:strCache>
                <c:ptCount val="3"/>
                <c:pt idx="0">
                  <c:v>Yes</c:v>
                </c:pt>
                <c:pt idx="1">
                  <c:v>No</c:v>
                </c:pt>
                <c:pt idx="2">
                  <c:v>Unsure</c:v>
                </c:pt>
              </c:strCache>
            </c:strRef>
          </c:cat>
          <c:val>
            <c:numRef>
              <c:f>'SV Experiences'!$Q$15:$Q$17</c:f>
              <c:numCache>
                <c:formatCode>0%</c:formatCode>
                <c:ptCount val="3"/>
                <c:pt idx="0">
                  <c:v>0.3497191011235955</c:v>
                </c:pt>
                <c:pt idx="1">
                  <c:v>0.6264044943820225</c:v>
                </c:pt>
                <c:pt idx="2">
                  <c:v>2.3876404494382022E-2</c:v>
                </c:pt>
              </c:numCache>
            </c:numRef>
          </c:val>
        </c:ser>
        <c:dLbls>
          <c:showLegendKey val="0"/>
          <c:showVal val="0"/>
          <c:showCatName val="0"/>
          <c:showSerName val="0"/>
          <c:showPercent val="1"/>
          <c:showBubbleSize val="0"/>
          <c:showLeaderLines val="1"/>
        </c:dLbls>
        <c:firstSliceAng val="0"/>
        <c:holeSize val="50"/>
      </c:doughnutChart>
    </c:plotArea>
    <c:legend>
      <c:legendPos val="r"/>
      <c:layout/>
      <c:overlay val="0"/>
    </c:legend>
    <c:plotVisOnly val="0"/>
    <c:dispBlanksAs val="gap"/>
    <c:showDLblsOverMax val="0"/>
  </c:chart>
  <c:spPr>
    <a:ln>
      <a:solidFill>
        <a:schemeClr val="accent3"/>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a:pPr>
            <a:r>
              <a:rPr lang="en-US" sz="1000"/>
              <a:t>Number of survey respondents who experienced the following </a:t>
            </a:r>
            <a:r>
              <a:rPr lang="en-US" sz="1000" i="1"/>
              <a:t>one or more times</a:t>
            </a:r>
            <a:r>
              <a:rPr lang="en-US" sz="1000"/>
              <a:t>...</a:t>
            </a:r>
          </a:p>
        </c:rich>
      </c:tx>
      <c:layout/>
      <c:overlay val="0"/>
    </c:title>
    <c:autoTitleDeleted val="0"/>
    <c:plotArea>
      <c:layout/>
      <c:barChart>
        <c:barDir val="bar"/>
        <c:grouping val="stacked"/>
        <c:varyColors val="0"/>
        <c:ser>
          <c:idx val="3"/>
          <c:order val="0"/>
          <c:tx>
            <c:strRef>
              <c:f>'SV Experiences'!$S$4</c:f>
              <c:strCache>
                <c:ptCount val="1"/>
                <c:pt idx="0">
                  <c:v>Yes, one or more times count</c:v>
                </c:pt>
              </c:strCache>
            </c:strRef>
          </c:tx>
          <c:spPr>
            <a:solidFill>
              <a:schemeClr val="accent2"/>
            </a:solidFill>
          </c:spPr>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'SV Experiences'!$P$5:$P$9</c:f>
              <c:strCache>
                <c:ptCount val="5"/>
                <c:pt idx="0">
                  <c:v>Someone performed oral sex on me 
or made me give them oral sex</c:v>
                </c:pt>
                <c:pt idx="1">
                  <c:v>Someone TRIED to perform oral sex 
on me or make me give them oral sex</c:v>
                </c:pt>
                <c:pt idx="2">
                  <c:v>Someone sexually penetrated me</c:v>
                </c:pt>
                <c:pt idx="3">
                  <c:v>Someone TRIED to sexually penetrate me</c:v>
                </c:pt>
                <c:pt idx="4">
                  <c:v>Someone fondled, kissed, or rubbed up against the private areas of my body or removed some of my clothes</c:v>
                </c:pt>
              </c:strCache>
            </c:strRef>
          </c:cat>
          <c:val>
            <c:numRef>
              <c:f>'SV Experiences'!$S$5:$S$9</c:f>
              <c:numCache>
                <c:formatCode>General</c:formatCode>
                <c:ptCount val="5"/>
                <c:pt idx="0">
                  <c:v>16</c:v>
                </c:pt>
                <c:pt idx="1">
                  <c:v>18</c:v>
                </c:pt>
                <c:pt idx="2">
                  <c:v>20</c:v>
                </c:pt>
                <c:pt idx="3">
                  <c:v>21</c:v>
                </c:pt>
                <c:pt idx="4">
                  <c:v>48</c:v>
                </c:pt>
              </c:numCache>
            </c:numRef>
          </c:val>
        </c:ser>
        <c:dLbls>
          <c:dLblPos val="inEnd"/>
          <c:showLegendKey val="0"/>
          <c:showVal val="1"/>
          <c:showCatName val="0"/>
          <c:showSerName val="0"/>
          <c:showPercent val="0"/>
          <c:showBubbleSize val="0"/>
        </c:dLbls>
        <c:gapWidth val="55"/>
        <c:overlap val="100"/>
        <c:axId val="108981632"/>
        <c:axId val="114002176"/>
      </c:barChart>
      <c:catAx>
        <c:axId val="108981632"/>
        <c:scaling>
          <c:orientation val="minMax"/>
        </c:scaling>
        <c:delete val="0"/>
        <c:axPos val="l"/>
        <c:majorTickMark val="none"/>
        <c:minorTickMark val="none"/>
        <c:tickLblPos val="nextTo"/>
        <c:crossAx val="114002176"/>
        <c:crosses val="autoZero"/>
        <c:auto val="1"/>
        <c:lblAlgn val="ctr"/>
        <c:lblOffset val="100"/>
        <c:noMultiLvlLbl val="0"/>
      </c:catAx>
      <c:valAx>
        <c:axId val="114002176"/>
        <c:scaling>
          <c:orientation val="minMax"/>
        </c:scaling>
        <c:delete val="0"/>
        <c:axPos val="b"/>
        <c:majorGridlines/>
        <c:numFmt formatCode="General" sourceLinked="1"/>
        <c:majorTickMark val="none"/>
        <c:minorTickMark val="none"/>
        <c:tickLblPos val="nextTo"/>
        <c:crossAx val="108981632"/>
        <c:crosses val="autoZero"/>
        <c:crossBetween val="between"/>
      </c:valAx>
    </c:plotArea>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tro!A1"/><Relationship Id="rId13" Type="http://schemas.openxmlformats.org/officeDocument/2006/relationships/hyperlink" Target="#Reporting!A1"/><Relationship Id="rId18" Type="http://schemas.openxmlformats.org/officeDocument/2006/relationships/hyperlink" Target="#'Intimate Partner Violence'!A1"/><Relationship Id="rId3" Type="http://schemas.openxmlformats.org/officeDocument/2006/relationships/image" Target="../media/image3.png"/><Relationship Id="rId7" Type="http://schemas.openxmlformats.org/officeDocument/2006/relationships/image" Target="../media/image6.emf"/><Relationship Id="rId12" Type="http://schemas.openxmlformats.org/officeDocument/2006/relationships/hyperlink" Target="#'Perp Behavior'!A1"/><Relationship Id="rId17" Type="http://schemas.openxmlformats.org/officeDocument/2006/relationships/hyperlink" Target="#'Stalking and Harassment'!A1"/><Relationship Id="rId2" Type="http://schemas.openxmlformats.org/officeDocument/2006/relationships/image" Target="../media/image2.png"/><Relationship Id="rId16" Type="http://schemas.openxmlformats.org/officeDocument/2006/relationships/hyperlink" Target="#'Community Attitudes'!A1"/><Relationship Id="rId1" Type="http://schemas.openxmlformats.org/officeDocument/2006/relationships/image" Target="../media/image1.png"/><Relationship Id="rId6" Type="http://schemas.openxmlformats.org/officeDocument/2006/relationships/hyperlink" Target="#Methods!A1"/><Relationship Id="rId11" Type="http://schemas.openxmlformats.org/officeDocument/2006/relationships/hyperlink" Target="#'SV Experiences'!A1"/><Relationship Id="rId5" Type="http://schemas.openxmlformats.org/officeDocument/2006/relationships/image" Target="../media/image5.png"/><Relationship Id="rId15" Type="http://schemas.openxmlformats.org/officeDocument/2006/relationships/hyperlink" Target="#'Climate and Harassment'!A1"/><Relationship Id="rId10" Type="http://schemas.openxmlformats.org/officeDocument/2006/relationships/hyperlink" Target="#'Prevention Training'!A1"/><Relationship Id="rId19" Type="http://schemas.openxmlformats.org/officeDocument/2006/relationships/hyperlink" Target="#'Community Behaviors'!A1"/><Relationship Id="rId4" Type="http://schemas.openxmlformats.org/officeDocument/2006/relationships/image" Target="../media/image4.png"/><Relationship Id="rId9" Type="http://schemas.openxmlformats.org/officeDocument/2006/relationships/hyperlink" Target="#Demos!A1"/><Relationship Id="rId14" Type="http://schemas.openxmlformats.org/officeDocument/2006/relationships/hyperlink" Target="#'Resources '!A1"/></Relationships>
</file>

<file path=xl/drawings/_rels/drawing10.xml.rels><?xml version="1.0" encoding="UTF-8" standalone="yes"?>
<Relationships xmlns="http://schemas.openxmlformats.org/package/2006/relationships"><Relationship Id="rId8" Type="http://schemas.openxmlformats.org/officeDocument/2006/relationships/hyperlink" Target="#Intro!A1"/><Relationship Id="rId13" Type="http://schemas.openxmlformats.org/officeDocument/2006/relationships/hyperlink" Target="#Reporting!A1"/><Relationship Id="rId18" Type="http://schemas.openxmlformats.org/officeDocument/2006/relationships/hyperlink" Target="#'Intimate Partner Violence'!A1"/><Relationship Id="rId3" Type="http://schemas.openxmlformats.org/officeDocument/2006/relationships/hyperlink" Target="#'Stalking and Harassment'!A1"/><Relationship Id="rId7" Type="http://schemas.openxmlformats.org/officeDocument/2006/relationships/image" Target="../media/image15.png"/><Relationship Id="rId12" Type="http://schemas.openxmlformats.org/officeDocument/2006/relationships/hyperlink" Target="#'Perp Behavior'!A1"/><Relationship Id="rId17" Type="http://schemas.openxmlformats.org/officeDocument/2006/relationships/hyperlink" Target="#'Community Attitudes'!A1"/><Relationship Id="rId2" Type="http://schemas.openxmlformats.org/officeDocument/2006/relationships/image" Target="../media/image1.png"/><Relationship Id="rId16" Type="http://schemas.openxmlformats.org/officeDocument/2006/relationships/hyperlink" Target="#Methods!A1"/><Relationship Id="rId1" Type="http://schemas.openxmlformats.org/officeDocument/2006/relationships/chart" Target="../charts/chart14.xml"/><Relationship Id="rId6" Type="http://schemas.openxmlformats.org/officeDocument/2006/relationships/image" Target="../media/image6.emf"/><Relationship Id="rId11" Type="http://schemas.openxmlformats.org/officeDocument/2006/relationships/hyperlink" Target="#'SV Experiences'!A1"/><Relationship Id="rId5" Type="http://schemas.openxmlformats.org/officeDocument/2006/relationships/hyperlink" Target="#'Community Behaviors'!A1"/><Relationship Id="rId15" Type="http://schemas.openxmlformats.org/officeDocument/2006/relationships/hyperlink" Target="#'Climate and Harassment'!A1"/><Relationship Id="rId10" Type="http://schemas.openxmlformats.org/officeDocument/2006/relationships/hyperlink" Target="#'Prevention Training'!A1"/><Relationship Id="rId4" Type="http://schemas.openxmlformats.org/officeDocument/2006/relationships/image" Target="../media/image9.emf"/><Relationship Id="rId9" Type="http://schemas.openxmlformats.org/officeDocument/2006/relationships/hyperlink" Target="#Demos!A1"/><Relationship Id="rId14" Type="http://schemas.openxmlformats.org/officeDocument/2006/relationships/hyperlink" Target="#'Resources '!A1"/></Relationships>
</file>

<file path=xl/drawings/_rels/drawing11.xml.rels><?xml version="1.0" encoding="UTF-8" standalone="yes"?>
<Relationships xmlns="http://schemas.openxmlformats.org/package/2006/relationships"><Relationship Id="rId8" Type="http://schemas.openxmlformats.org/officeDocument/2006/relationships/hyperlink" Target="#Intro!A1"/><Relationship Id="rId13" Type="http://schemas.openxmlformats.org/officeDocument/2006/relationships/hyperlink" Target="#Reporting!A1"/><Relationship Id="rId18" Type="http://schemas.openxmlformats.org/officeDocument/2006/relationships/hyperlink" Target="#'Community Behaviors'!A1"/><Relationship Id="rId3" Type="http://schemas.openxmlformats.org/officeDocument/2006/relationships/image" Target="../media/image1.png"/><Relationship Id="rId7" Type="http://schemas.openxmlformats.org/officeDocument/2006/relationships/image" Target="../media/image6.emf"/><Relationship Id="rId12" Type="http://schemas.openxmlformats.org/officeDocument/2006/relationships/hyperlink" Target="#'Perp Behavior'!A1"/><Relationship Id="rId17" Type="http://schemas.openxmlformats.org/officeDocument/2006/relationships/hyperlink" Target="#'Stalking and Harassment'!A1"/><Relationship Id="rId2" Type="http://schemas.openxmlformats.org/officeDocument/2006/relationships/image" Target="../media/image12.png"/><Relationship Id="rId16" Type="http://schemas.openxmlformats.org/officeDocument/2006/relationships/hyperlink" Target="#Methods!A1"/><Relationship Id="rId1" Type="http://schemas.openxmlformats.org/officeDocument/2006/relationships/chart" Target="../charts/chart15.xml"/><Relationship Id="rId6" Type="http://schemas.openxmlformats.org/officeDocument/2006/relationships/hyperlink" Target="#'Community Attitudes'!A1"/><Relationship Id="rId11" Type="http://schemas.openxmlformats.org/officeDocument/2006/relationships/hyperlink" Target="#'SV Experiences'!A1"/><Relationship Id="rId5" Type="http://schemas.openxmlformats.org/officeDocument/2006/relationships/image" Target="../media/image9.emf"/><Relationship Id="rId15" Type="http://schemas.openxmlformats.org/officeDocument/2006/relationships/hyperlink" Target="#'Climate and Harassment'!A1"/><Relationship Id="rId10" Type="http://schemas.openxmlformats.org/officeDocument/2006/relationships/hyperlink" Target="#'Prevention Training'!A1"/><Relationship Id="rId4" Type="http://schemas.openxmlformats.org/officeDocument/2006/relationships/hyperlink" Target="#'Intimate Partner Violence'!A1"/><Relationship Id="rId9" Type="http://schemas.openxmlformats.org/officeDocument/2006/relationships/hyperlink" Target="#Demos!A1"/><Relationship Id="rId14" Type="http://schemas.openxmlformats.org/officeDocument/2006/relationships/hyperlink" Target="#'Resources '!A1"/></Relationships>
</file>

<file path=xl/drawings/_rels/drawing12.xml.rels><?xml version="1.0" encoding="UTF-8" standalone="yes"?>
<Relationships xmlns="http://schemas.openxmlformats.org/package/2006/relationships"><Relationship Id="rId8" Type="http://schemas.openxmlformats.org/officeDocument/2006/relationships/hyperlink" Target="#Intro!A1"/><Relationship Id="rId13" Type="http://schemas.openxmlformats.org/officeDocument/2006/relationships/hyperlink" Target="#Reporting!A1"/><Relationship Id="rId18" Type="http://schemas.openxmlformats.org/officeDocument/2006/relationships/hyperlink" Target="#'Intimate Partner Violence'!A1"/><Relationship Id="rId3" Type="http://schemas.openxmlformats.org/officeDocument/2006/relationships/chart" Target="../charts/chart17.xml"/><Relationship Id="rId7" Type="http://schemas.openxmlformats.org/officeDocument/2006/relationships/image" Target="../media/image6.emf"/><Relationship Id="rId12" Type="http://schemas.openxmlformats.org/officeDocument/2006/relationships/hyperlink" Target="#'Perp Behavior'!A1"/><Relationship Id="rId17" Type="http://schemas.openxmlformats.org/officeDocument/2006/relationships/hyperlink" Target="#'Stalking and Harassment'!A1"/><Relationship Id="rId2" Type="http://schemas.openxmlformats.org/officeDocument/2006/relationships/image" Target="../media/image1.png"/><Relationship Id="rId16" Type="http://schemas.openxmlformats.org/officeDocument/2006/relationships/hyperlink" Target="#'Community Attitudes'!A1"/><Relationship Id="rId1" Type="http://schemas.openxmlformats.org/officeDocument/2006/relationships/chart" Target="../charts/chart16.xml"/><Relationship Id="rId6" Type="http://schemas.openxmlformats.org/officeDocument/2006/relationships/hyperlink" Target="#'Resources '!A1"/><Relationship Id="rId11" Type="http://schemas.openxmlformats.org/officeDocument/2006/relationships/hyperlink" Target="#'SV Experiences'!A1"/><Relationship Id="rId5" Type="http://schemas.openxmlformats.org/officeDocument/2006/relationships/image" Target="../media/image9.emf"/><Relationship Id="rId15" Type="http://schemas.openxmlformats.org/officeDocument/2006/relationships/hyperlink" Target="#Methods!A1"/><Relationship Id="rId10" Type="http://schemas.openxmlformats.org/officeDocument/2006/relationships/hyperlink" Target="#'Prevention Training'!A1"/><Relationship Id="rId4" Type="http://schemas.openxmlformats.org/officeDocument/2006/relationships/hyperlink" Target="#'Community Behaviors'!A1"/><Relationship Id="rId9" Type="http://schemas.openxmlformats.org/officeDocument/2006/relationships/hyperlink" Target="#Demos!A1"/><Relationship Id="rId14" Type="http://schemas.openxmlformats.org/officeDocument/2006/relationships/hyperlink" Target="#'Climate and Harassment'!A1"/></Relationships>
</file>

<file path=xl/drawings/_rels/drawing13.xml.rels><?xml version="1.0" encoding="UTF-8" standalone="yes"?>
<Relationships xmlns="http://schemas.openxmlformats.org/package/2006/relationships"><Relationship Id="rId8" Type="http://schemas.openxmlformats.org/officeDocument/2006/relationships/hyperlink" Target="#Intro!A1"/><Relationship Id="rId13" Type="http://schemas.openxmlformats.org/officeDocument/2006/relationships/hyperlink" Target="#Reporting!A1"/><Relationship Id="rId18" Type="http://schemas.openxmlformats.org/officeDocument/2006/relationships/hyperlink" Target="#'Intimate Partner Violence'!A1"/><Relationship Id="rId3" Type="http://schemas.openxmlformats.org/officeDocument/2006/relationships/hyperlink" Target="https://www.eab.com/research-and-insights/student-affairs-forum/resources/sexual-violence-resource-hub/sexual-violence-resource-hub" TargetMode="External"/><Relationship Id="rId7" Type="http://schemas.openxmlformats.org/officeDocument/2006/relationships/hyperlink" Target="https://www.eab.com/research-and-insights/student-affairs-forum/white-papers/beyond-orientation" TargetMode="External"/><Relationship Id="rId12" Type="http://schemas.openxmlformats.org/officeDocument/2006/relationships/hyperlink" Target="#'Perp Behavior'!A1"/><Relationship Id="rId17" Type="http://schemas.openxmlformats.org/officeDocument/2006/relationships/hyperlink" Target="#'Stalking and Harassment'!A1"/><Relationship Id="rId2" Type="http://schemas.openxmlformats.org/officeDocument/2006/relationships/hyperlink" Target="https://www.eab.com/Research-and-Insights/Student-Affairs-Forum/Studies/2016/Sexual-Misconduct-Reporting" TargetMode="External"/><Relationship Id="rId16" Type="http://schemas.openxmlformats.org/officeDocument/2006/relationships/hyperlink" Target="#Methods!A1"/><Relationship Id="rId1" Type="http://schemas.openxmlformats.org/officeDocument/2006/relationships/image" Target="../media/image1.png"/><Relationship Id="rId6" Type="http://schemas.openxmlformats.org/officeDocument/2006/relationships/hyperlink" Target="https://www.eab.com/research-and-insights/student-affairs-forum/studies/2015/building-an-effective-university-infrastructure" TargetMode="External"/><Relationship Id="rId11" Type="http://schemas.openxmlformats.org/officeDocument/2006/relationships/hyperlink" Target="#'SV Experiences'!A1"/><Relationship Id="rId5" Type="http://schemas.openxmlformats.org/officeDocument/2006/relationships/image" Target="../media/image9.emf"/><Relationship Id="rId15" Type="http://schemas.openxmlformats.org/officeDocument/2006/relationships/hyperlink" Target="#'Climate and Harassment'!A1"/><Relationship Id="rId10" Type="http://schemas.openxmlformats.org/officeDocument/2006/relationships/hyperlink" Target="#'Prevention Training'!A1"/><Relationship Id="rId19" Type="http://schemas.openxmlformats.org/officeDocument/2006/relationships/hyperlink" Target="#'Community Behaviors'!A1"/><Relationship Id="rId4" Type="http://schemas.openxmlformats.org/officeDocument/2006/relationships/hyperlink" Target="#'Community Attitudes'!A1"/><Relationship Id="rId9" Type="http://schemas.openxmlformats.org/officeDocument/2006/relationships/hyperlink" Target="#Demos!A1"/><Relationship Id="rId14" Type="http://schemas.openxmlformats.org/officeDocument/2006/relationships/hyperlink" Target="#'Resources '!A1"/></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hyperlink" Target="#'Resources '!A1"/><Relationship Id="rId18" Type="http://schemas.openxmlformats.org/officeDocument/2006/relationships/hyperlink" Target="#'Intimate Partner Violence'!A1"/><Relationship Id="rId3" Type="http://schemas.openxmlformats.org/officeDocument/2006/relationships/image" Target="../media/image8.png"/><Relationship Id="rId7" Type="http://schemas.openxmlformats.org/officeDocument/2006/relationships/image" Target="../media/image6.emf"/><Relationship Id="rId12" Type="http://schemas.openxmlformats.org/officeDocument/2006/relationships/hyperlink" Target="#Reporting!A1"/><Relationship Id="rId17" Type="http://schemas.openxmlformats.org/officeDocument/2006/relationships/hyperlink" Target="#'Stalking and Harassment'!A1"/><Relationship Id="rId2" Type="http://schemas.openxmlformats.org/officeDocument/2006/relationships/image" Target="../media/image7.png"/><Relationship Id="rId16" Type="http://schemas.openxmlformats.org/officeDocument/2006/relationships/hyperlink" Target="#'Community Attitudes'!A1"/><Relationship Id="rId1" Type="http://schemas.openxmlformats.org/officeDocument/2006/relationships/image" Target="../media/image1.png"/><Relationship Id="rId6" Type="http://schemas.openxmlformats.org/officeDocument/2006/relationships/hyperlink" Target="#Demos!A1"/><Relationship Id="rId11" Type="http://schemas.openxmlformats.org/officeDocument/2006/relationships/hyperlink" Target="#'Perp Behavior'!A1"/><Relationship Id="rId5" Type="http://schemas.openxmlformats.org/officeDocument/2006/relationships/image" Target="../media/image9.emf"/><Relationship Id="rId15" Type="http://schemas.openxmlformats.org/officeDocument/2006/relationships/hyperlink" Target="#Methods!A1"/><Relationship Id="rId10" Type="http://schemas.openxmlformats.org/officeDocument/2006/relationships/hyperlink" Target="#'SV Experiences'!A1"/><Relationship Id="rId19" Type="http://schemas.openxmlformats.org/officeDocument/2006/relationships/hyperlink" Target="#'Community Behaviors'!A1"/><Relationship Id="rId4" Type="http://schemas.openxmlformats.org/officeDocument/2006/relationships/hyperlink" Target="#Intro!A1"/><Relationship Id="rId9" Type="http://schemas.openxmlformats.org/officeDocument/2006/relationships/hyperlink" Target="#'Prevention Training'!A1"/><Relationship Id="rId14" Type="http://schemas.openxmlformats.org/officeDocument/2006/relationships/hyperlink" Target="#'Climate and Harassment'!A1"/></Relationships>
</file>

<file path=xl/drawings/_rels/drawing3.xml.rels><?xml version="1.0" encoding="UTF-8" standalone="yes"?>
<Relationships xmlns="http://schemas.openxmlformats.org/package/2006/relationships"><Relationship Id="rId8" Type="http://schemas.openxmlformats.org/officeDocument/2006/relationships/chart" Target="../charts/chart3.xml"/><Relationship Id="rId13" Type="http://schemas.openxmlformats.org/officeDocument/2006/relationships/hyperlink" Target="#'Perp Behavior'!A1"/><Relationship Id="rId18" Type="http://schemas.openxmlformats.org/officeDocument/2006/relationships/hyperlink" Target="#'Intimate Partner Violence'!A1"/><Relationship Id="rId3" Type="http://schemas.openxmlformats.org/officeDocument/2006/relationships/hyperlink" Target="#Methods!A1"/><Relationship Id="rId7" Type="http://schemas.openxmlformats.org/officeDocument/2006/relationships/chart" Target="../charts/chart2.xml"/><Relationship Id="rId12" Type="http://schemas.openxmlformats.org/officeDocument/2006/relationships/hyperlink" Target="#'SV Experiences'!A1"/><Relationship Id="rId17" Type="http://schemas.openxmlformats.org/officeDocument/2006/relationships/hyperlink" Target="#'Stalking and Harassment'!A1"/><Relationship Id="rId2" Type="http://schemas.openxmlformats.org/officeDocument/2006/relationships/chart" Target="../charts/chart1.xml"/><Relationship Id="rId16" Type="http://schemas.openxmlformats.org/officeDocument/2006/relationships/hyperlink" Target="#'Community Attitudes'!A1"/><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hyperlink" Target="#'Prevention Training'!A1"/><Relationship Id="rId5" Type="http://schemas.openxmlformats.org/officeDocument/2006/relationships/hyperlink" Target="#'Climate and Harassment'!A1"/><Relationship Id="rId15" Type="http://schemas.openxmlformats.org/officeDocument/2006/relationships/hyperlink" Target="#'Resources '!A1"/><Relationship Id="rId10" Type="http://schemas.openxmlformats.org/officeDocument/2006/relationships/hyperlink" Target="#Demos!A1"/><Relationship Id="rId19" Type="http://schemas.openxmlformats.org/officeDocument/2006/relationships/hyperlink" Target="#'Community Behaviors'!A1"/><Relationship Id="rId4" Type="http://schemas.openxmlformats.org/officeDocument/2006/relationships/image" Target="../media/image9.emf"/><Relationship Id="rId9" Type="http://schemas.openxmlformats.org/officeDocument/2006/relationships/hyperlink" Target="#Intro!A1"/><Relationship Id="rId14" Type="http://schemas.openxmlformats.org/officeDocument/2006/relationships/hyperlink" Target="#Reporting!A1"/></Relationships>
</file>

<file path=xl/drawings/_rels/drawing4.xml.rels><?xml version="1.0" encoding="UTF-8" standalone="yes"?>
<Relationships xmlns="http://schemas.openxmlformats.org/package/2006/relationships"><Relationship Id="rId8" Type="http://schemas.openxmlformats.org/officeDocument/2006/relationships/hyperlink" Target="#Intro!A1"/><Relationship Id="rId13" Type="http://schemas.openxmlformats.org/officeDocument/2006/relationships/hyperlink" Target="#'Climate and Harassment'!A1"/><Relationship Id="rId18" Type="http://schemas.openxmlformats.org/officeDocument/2006/relationships/hyperlink" Target="#'Community Behaviors'!A1"/><Relationship Id="rId3" Type="http://schemas.openxmlformats.org/officeDocument/2006/relationships/image" Target="../media/image9.emf"/><Relationship Id="rId7" Type="http://schemas.openxmlformats.org/officeDocument/2006/relationships/chart" Target="../charts/chart5.xml"/><Relationship Id="rId12" Type="http://schemas.openxmlformats.org/officeDocument/2006/relationships/hyperlink" Target="#'Resources '!A1"/><Relationship Id="rId17" Type="http://schemas.openxmlformats.org/officeDocument/2006/relationships/hyperlink" Target="#'Intimate Partner Violence'!A1"/><Relationship Id="rId2" Type="http://schemas.openxmlformats.org/officeDocument/2006/relationships/hyperlink" Target="#Demos!A1"/><Relationship Id="rId16" Type="http://schemas.openxmlformats.org/officeDocument/2006/relationships/hyperlink" Target="#'Stalking and Harassment'!A1"/><Relationship Id="rId1" Type="http://schemas.openxmlformats.org/officeDocument/2006/relationships/image" Target="../media/image1.png"/><Relationship Id="rId6" Type="http://schemas.openxmlformats.org/officeDocument/2006/relationships/chart" Target="../charts/chart4.xml"/><Relationship Id="rId11" Type="http://schemas.openxmlformats.org/officeDocument/2006/relationships/hyperlink" Target="#Reporting!A1"/><Relationship Id="rId5" Type="http://schemas.openxmlformats.org/officeDocument/2006/relationships/image" Target="../media/image6.emf"/><Relationship Id="rId15" Type="http://schemas.openxmlformats.org/officeDocument/2006/relationships/hyperlink" Target="#'Community Attitudes'!A1"/><Relationship Id="rId10" Type="http://schemas.openxmlformats.org/officeDocument/2006/relationships/hyperlink" Target="#'Perp Behavior'!A1"/><Relationship Id="rId4" Type="http://schemas.openxmlformats.org/officeDocument/2006/relationships/hyperlink" Target="#'Prevention Training'!A1"/><Relationship Id="rId9" Type="http://schemas.openxmlformats.org/officeDocument/2006/relationships/hyperlink" Target="#'SV Experiences'!A1"/><Relationship Id="rId14" Type="http://schemas.openxmlformats.org/officeDocument/2006/relationships/hyperlink" Target="#Methods!A1"/></Relationships>
</file>

<file path=xl/drawings/_rels/drawing5.xml.rels><?xml version="1.0" encoding="UTF-8" standalone="yes"?>
<Relationships xmlns="http://schemas.openxmlformats.org/package/2006/relationships"><Relationship Id="rId8" Type="http://schemas.openxmlformats.org/officeDocument/2006/relationships/hyperlink" Target="#Intro!A1"/><Relationship Id="rId13" Type="http://schemas.openxmlformats.org/officeDocument/2006/relationships/hyperlink" Target="#'Resources '!A1"/><Relationship Id="rId18" Type="http://schemas.openxmlformats.org/officeDocument/2006/relationships/hyperlink" Target="#'Community Behaviors'!A1"/><Relationship Id="rId3" Type="http://schemas.openxmlformats.org/officeDocument/2006/relationships/chart" Target="../charts/chart7.xml"/><Relationship Id="rId7" Type="http://schemas.openxmlformats.org/officeDocument/2006/relationships/image" Target="../media/image6.emf"/><Relationship Id="rId12" Type="http://schemas.openxmlformats.org/officeDocument/2006/relationships/hyperlink" Target="#Reporting!A1"/><Relationship Id="rId17" Type="http://schemas.openxmlformats.org/officeDocument/2006/relationships/hyperlink" Target="#'Intimate Partner Violence'!A1"/><Relationship Id="rId2" Type="http://schemas.openxmlformats.org/officeDocument/2006/relationships/chart" Target="../charts/chart6.xml"/><Relationship Id="rId16" Type="http://schemas.openxmlformats.org/officeDocument/2006/relationships/hyperlink" Target="#'Stalking and Harassment'!A1"/><Relationship Id="rId1" Type="http://schemas.openxmlformats.org/officeDocument/2006/relationships/image" Target="../media/image1.png"/><Relationship Id="rId6" Type="http://schemas.openxmlformats.org/officeDocument/2006/relationships/hyperlink" Target="#'SV Experiences'!A1"/><Relationship Id="rId11" Type="http://schemas.openxmlformats.org/officeDocument/2006/relationships/hyperlink" Target="#'Perp Behavior'!A1"/><Relationship Id="rId5" Type="http://schemas.openxmlformats.org/officeDocument/2006/relationships/image" Target="../media/image9.emf"/><Relationship Id="rId15" Type="http://schemas.openxmlformats.org/officeDocument/2006/relationships/hyperlink" Target="#'Community Attitudes'!A1"/><Relationship Id="rId10" Type="http://schemas.openxmlformats.org/officeDocument/2006/relationships/hyperlink" Target="#'Prevention Training'!A1"/><Relationship Id="rId4" Type="http://schemas.openxmlformats.org/officeDocument/2006/relationships/hyperlink" Target="#'Climate and Harassment'!A1"/><Relationship Id="rId9" Type="http://schemas.openxmlformats.org/officeDocument/2006/relationships/hyperlink" Target="#Demos!A1"/><Relationship Id="rId14" Type="http://schemas.openxmlformats.org/officeDocument/2006/relationships/hyperlink" Target="#Methods!A1"/></Relationships>
</file>

<file path=xl/drawings/_rels/drawing6.xml.rels><?xml version="1.0" encoding="UTF-8" standalone="yes"?>
<Relationships xmlns="http://schemas.openxmlformats.org/package/2006/relationships"><Relationship Id="rId8" Type="http://schemas.openxmlformats.org/officeDocument/2006/relationships/hyperlink" Target="#Intro!A1"/><Relationship Id="rId13" Type="http://schemas.openxmlformats.org/officeDocument/2006/relationships/hyperlink" Target="#'Climate and Harassment'!A1"/><Relationship Id="rId18" Type="http://schemas.openxmlformats.org/officeDocument/2006/relationships/hyperlink" Target="#'Community Behaviors'!A1"/><Relationship Id="rId3" Type="http://schemas.openxmlformats.org/officeDocument/2006/relationships/chart" Target="../charts/chart9.xml"/><Relationship Id="rId7" Type="http://schemas.openxmlformats.org/officeDocument/2006/relationships/image" Target="../media/image6.emf"/><Relationship Id="rId12" Type="http://schemas.openxmlformats.org/officeDocument/2006/relationships/hyperlink" Target="#'Resources '!A1"/><Relationship Id="rId17" Type="http://schemas.openxmlformats.org/officeDocument/2006/relationships/hyperlink" Target="#'Intimate Partner Violence'!A1"/><Relationship Id="rId2" Type="http://schemas.openxmlformats.org/officeDocument/2006/relationships/chart" Target="../charts/chart8.xml"/><Relationship Id="rId16" Type="http://schemas.openxmlformats.org/officeDocument/2006/relationships/hyperlink" Target="#'Stalking and Harassment'!A1"/><Relationship Id="rId1" Type="http://schemas.openxmlformats.org/officeDocument/2006/relationships/image" Target="../media/image1.png"/><Relationship Id="rId6" Type="http://schemas.openxmlformats.org/officeDocument/2006/relationships/hyperlink" Target="#'Perp Behavior'!A1"/><Relationship Id="rId11" Type="http://schemas.openxmlformats.org/officeDocument/2006/relationships/hyperlink" Target="#Reporting!A1"/><Relationship Id="rId5" Type="http://schemas.openxmlformats.org/officeDocument/2006/relationships/image" Target="../media/image9.emf"/><Relationship Id="rId15" Type="http://schemas.openxmlformats.org/officeDocument/2006/relationships/hyperlink" Target="#'Community Attitudes'!A1"/><Relationship Id="rId10" Type="http://schemas.openxmlformats.org/officeDocument/2006/relationships/hyperlink" Target="#'SV Experiences'!A1"/><Relationship Id="rId4" Type="http://schemas.openxmlformats.org/officeDocument/2006/relationships/hyperlink" Target="#'Prevention Training'!A1"/><Relationship Id="rId9" Type="http://schemas.openxmlformats.org/officeDocument/2006/relationships/hyperlink" Target="#Demos!A1"/><Relationship Id="rId14" Type="http://schemas.openxmlformats.org/officeDocument/2006/relationships/hyperlink" Target="#Methods!A1"/></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Resources '!A1"/><Relationship Id="rId18" Type="http://schemas.openxmlformats.org/officeDocument/2006/relationships/hyperlink" Target="#'Intimate Partner Violence'!A1"/><Relationship Id="rId3" Type="http://schemas.openxmlformats.org/officeDocument/2006/relationships/chart" Target="../charts/chart10.xml"/><Relationship Id="rId7" Type="http://schemas.openxmlformats.org/officeDocument/2006/relationships/image" Target="../media/image6.emf"/><Relationship Id="rId12" Type="http://schemas.openxmlformats.org/officeDocument/2006/relationships/hyperlink" Target="#'Perp Behavior'!A1"/><Relationship Id="rId17" Type="http://schemas.openxmlformats.org/officeDocument/2006/relationships/hyperlink" Target="#'Stalking and Harassment'!A1"/><Relationship Id="rId2" Type="http://schemas.openxmlformats.org/officeDocument/2006/relationships/image" Target="../media/image12.png"/><Relationship Id="rId16" Type="http://schemas.openxmlformats.org/officeDocument/2006/relationships/hyperlink" Target="#'Community Attitudes'!A1"/><Relationship Id="rId1" Type="http://schemas.openxmlformats.org/officeDocument/2006/relationships/image" Target="../media/image11.png"/><Relationship Id="rId6" Type="http://schemas.openxmlformats.org/officeDocument/2006/relationships/hyperlink" Target="#Reporting!A1"/><Relationship Id="rId11" Type="http://schemas.openxmlformats.org/officeDocument/2006/relationships/hyperlink" Target="#'Prevention Training'!A1"/><Relationship Id="rId5" Type="http://schemas.openxmlformats.org/officeDocument/2006/relationships/image" Target="../media/image9.emf"/><Relationship Id="rId15" Type="http://schemas.openxmlformats.org/officeDocument/2006/relationships/hyperlink" Target="#Methods!A1"/><Relationship Id="rId10" Type="http://schemas.openxmlformats.org/officeDocument/2006/relationships/hyperlink" Target="#Demos!A1"/><Relationship Id="rId19" Type="http://schemas.openxmlformats.org/officeDocument/2006/relationships/hyperlink" Target="#'Community Behaviors'!A1"/><Relationship Id="rId4" Type="http://schemas.openxmlformats.org/officeDocument/2006/relationships/hyperlink" Target="#'SV Experiences'!A1"/><Relationship Id="rId9" Type="http://schemas.openxmlformats.org/officeDocument/2006/relationships/hyperlink" Target="#Intro!A1"/><Relationship Id="rId14" Type="http://schemas.openxmlformats.org/officeDocument/2006/relationships/hyperlink" Target="#'Climate and Harassment'!A1"/></Relationships>
</file>

<file path=xl/drawings/_rels/drawing8.xml.rels><?xml version="1.0" encoding="UTF-8" standalone="yes"?>
<Relationships xmlns="http://schemas.openxmlformats.org/package/2006/relationships"><Relationship Id="rId8" Type="http://schemas.openxmlformats.org/officeDocument/2006/relationships/hyperlink" Target="#'Stalking and Harassment'!A1"/><Relationship Id="rId13" Type="http://schemas.openxmlformats.org/officeDocument/2006/relationships/hyperlink" Target="#'SV Experiences'!A1"/><Relationship Id="rId18" Type="http://schemas.openxmlformats.org/officeDocument/2006/relationships/hyperlink" Target="#'Community Attitudes'!A1"/><Relationship Id="rId3" Type="http://schemas.openxmlformats.org/officeDocument/2006/relationships/image" Target="../media/image13.png"/><Relationship Id="rId7" Type="http://schemas.openxmlformats.org/officeDocument/2006/relationships/image" Target="../media/image9.emf"/><Relationship Id="rId12" Type="http://schemas.openxmlformats.org/officeDocument/2006/relationships/hyperlink" Target="#'Prevention Training'!A1"/><Relationship Id="rId17" Type="http://schemas.openxmlformats.org/officeDocument/2006/relationships/hyperlink" Target="#Methods!A1"/><Relationship Id="rId2" Type="http://schemas.openxmlformats.org/officeDocument/2006/relationships/chart" Target="../charts/chart11.xml"/><Relationship Id="rId16" Type="http://schemas.openxmlformats.org/officeDocument/2006/relationships/hyperlink" Target="#'Climate and Harassment'!A1"/><Relationship Id="rId20" Type="http://schemas.openxmlformats.org/officeDocument/2006/relationships/hyperlink" Target="#'Community Behaviors'!A1"/><Relationship Id="rId1" Type="http://schemas.openxmlformats.org/officeDocument/2006/relationships/image" Target="../media/image1.png"/><Relationship Id="rId6" Type="http://schemas.openxmlformats.org/officeDocument/2006/relationships/hyperlink" Target="#'Perp Behavior'!A1"/><Relationship Id="rId11" Type="http://schemas.openxmlformats.org/officeDocument/2006/relationships/hyperlink" Target="#Demos!A1"/><Relationship Id="rId5" Type="http://schemas.openxmlformats.org/officeDocument/2006/relationships/chart" Target="../charts/chart12.xml"/><Relationship Id="rId15" Type="http://schemas.openxmlformats.org/officeDocument/2006/relationships/hyperlink" Target="#'Resources '!A1"/><Relationship Id="rId10" Type="http://schemas.openxmlformats.org/officeDocument/2006/relationships/hyperlink" Target="#Intro!A1"/><Relationship Id="rId19" Type="http://schemas.openxmlformats.org/officeDocument/2006/relationships/hyperlink" Target="#'Intimate Partner Violence'!A1"/><Relationship Id="rId4" Type="http://schemas.openxmlformats.org/officeDocument/2006/relationships/image" Target="../media/image14.png"/><Relationship Id="rId9" Type="http://schemas.openxmlformats.org/officeDocument/2006/relationships/image" Target="../media/image6.emf"/><Relationship Id="rId14" Type="http://schemas.openxmlformats.org/officeDocument/2006/relationships/hyperlink" Target="#Reporting!A1"/></Relationships>
</file>

<file path=xl/drawings/_rels/drawing9.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hyperlink" Target="#'Perp Behavior'!A1"/><Relationship Id="rId18" Type="http://schemas.openxmlformats.org/officeDocument/2006/relationships/hyperlink" Target="#'Stalking and Harassment'!A1"/><Relationship Id="rId3" Type="http://schemas.openxmlformats.org/officeDocument/2006/relationships/hyperlink" Target="#Reporting!A1"/><Relationship Id="rId7" Type="http://schemas.openxmlformats.org/officeDocument/2006/relationships/image" Target="../media/image12.png"/><Relationship Id="rId12" Type="http://schemas.openxmlformats.org/officeDocument/2006/relationships/hyperlink" Target="#'SV Experiences'!A1"/><Relationship Id="rId17" Type="http://schemas.openxmlformats.org/officeDocument/2006/relationships/hyperlink" Target="#'Community Attitudes'!A1"/><Relationship Id="rId2" Type="http://schemas.openxmlformats.org/officeDocument/2006/relationships/image" Target="../media/image1.png"/><Relationship Id="rId16" Type="http://schemas.openxmlformats.org/officeDocument/2006/relationships/hyperlink" Target="#Methods!A1"/><Relationship Id="rId1" Type="http://schemas.openxmlformats.org/officeDocument/2006/relationships/chart" Target="../charts/chart13.xml"/><Relationship Id="rId6" Type="http://schemas.openxmlformats.org/officeDocument/2006/relationships/image" Target="../media/image6.emf"/><Relationship Id="rId11" Type="http://schemas.openxmlformats.org/officeDocument/2006/relationships/hyperlink" Target="#'Prevention Training'!A1"/><Relationship Id="rId5" Type="http://schemas.openxmlformats.org/officeDocument/2006/relationships/hyperlink" Target="#'Intimate Partner Violence'!A1"/><Relationship Id="rId15" Type="http://schemas.openxmlformats.org/officeDocument/2006/relationships/hyperlink" Target="#'Climate and Harassment'!A1"/><Relationship Id="rId10" Type="http://schemas.openxmlformats.org/officeDocument/2006/relationships/hyperlink" Target="#Demos!A1"/><Relationship Id="rId19" Type="http://schemas.openxmlformats.org/officeDocument/2006/relationships/hyperlink" Target="#'Community Behaviors'!A1"/><Relationship Id="rId4" Type="http://schemas.openxmlformats.org/officeDocument/2006/relationships/image" Target="../media/image9.emf"/><Relationship Id="rId9" Type="http://schemas.openxmlformats.org/officeDocument/2006/relationships/hyperlink" Target="#Intro!A1"/><Relationship Id="rId14" Type="http://schemas.openxmlformats.org/officeDocument/2006/relationships/hyperlink" Target="#'Resources '!A1"/></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14</xdr:col>
      <xdr:colOff>661737</xdr:colOff>
      <xdr:row>10</xdr:row>
      <xdr:rowOff>10026</xdr:rowOff>
    </xdr:from>
    <xdr:to>
      <xdr:col>16</xdr:col>
      <xdr:colOff>72189</xdr:colOff>
      <xdr:row>14</xdr:row>
      <xdr:rowOff>162426</xdr:rowOff>
    </xdr:to>
    <xdr:sp macro="" textlink="">
      <xdr:nvSpPr>
        <xdr:cNvPr id="3" name="TextBox 2"/>
        <xdr:cNvSpPr txBox="1"/>
      </xdr:nvSpPr>
      <xdr:spPr bwMode="gray">
        <a:xfrm>
          <a:off x="11720262" y="2581776"/>
          <a:ext cx="915402" cy="914400"/>
        </a:xfrm>
        <a:prstGeom prst="rect">
          <a:avLst/>
        </a:prstGeom>
        <a:noFill/>
      </xdr:spPr>
      <xdr:txBody>
        <a:bodyPr vertOverflow="clip" horzOverflow="clip" wrap="non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endParaRPr lang="en-US" sz="1000" b="0">
            <a:solidFill>
              <a:schemeClr val="tx1"/>
            </a:solidFill>
            <a:latin typeface="+mn-lt"/>
            <a:ea typeface="+mn-ea"/>
            <a:cs typeface="+mn-cs"/>
          </a:endParaRPr>
        </a:p>
      </xdr:txBody>
    </xdr:sp>
    <xdr:clientData/>
  </xdr:twoCellAnchor>
  <xdr:twoCellAnchor>
    <xdr:from>
      <xdr:col>10</xdr:col>
      <xdr:colOff>134353</xdr:colOff>
      <xdr:row>3</xdr:row>
      <xdr:rowOff>10023</xdr:rowOff>
    </xdr:from>
    <xdr:to>
      <xdr:col>16</xdr:col>
      <xdr:colOff>1108911</xdr:colOff>
      <xdr:row>16</xdr:row>
      <xdr:rowOff>108857</xdr:rowOff>
    </xdr:to>
    <xdr:sp macro="" textlink="">
      <xdr:nvSpPr>
        <xdr:cNvPr id="4" name="Line Callout 2 (No Border) 86"/>
        <xdr:cNvSpPr/>
      </xdr:nvSpPr>
      <xdr:spPr bwMode="gray">
        <a:xfrm>
          <a:off x="8148960" y="1248273"/>
          <a:ext cx="5464915" cy="2575334"/>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500"/>
            </a:spcAft>
          </a:pPr>
          <a:r>
            <a:rPr lang="en-US" sz="900" b="1" kern="1200">
              <a:solidFill>
                <a:schemeClr val="tx1"/>
              </a:solidFill>
              <a:effectLst/>
              <a:ea typeface="Times New Roman"/>
              <a:cs typeface="Times New Roman"/>
            </a:rPr>
            <a:t>Navigating the EAB</a:t>
          </a:r>
          <a:r>
            <a:rPr lang="en-US" sz="900" b="1" kern="1200" baseline="0">
              <a:solidFill>
                <a:schemeClr val="tx1"/>
              </a:solidFill>
              <a:effectLst/>
              <a:ea typeface="Times New Roman"/>
              <a:cs typeface="Times New Roman"/>
            </a:rPr>
            <a:t> Campus Climate Survey Report </a:t>
          </a:r>
        </a:p>
        <a:p>
          <a:pPr marL="0" marR="0">
            <a:spcAft>
              <a:spcPts val="1000"/>
            </a:spcAft>
          </a:pPr>
          <a:r>
            <a:rPr lang="en-US" sz="900">
              <a:solidFill>
                <a:schemeClr val="tx1"/>
              </a:solidFill>
              <a:effectLst/>
              <a:latin typeface="+mn-lt"/>
              <a:ea typeface="Times New Roman"/>
              <a:cs typeface="+mn-cs"/>
            </a:rPr>
            <a:t>Use the links in the left-hand column of this Excel workbook to access high-level</a:t>
          </a:r>
          <a:r>
            <a:rPr lang="en-US" sz="900" baseline="0">
              <a:solidFill>
                <a:schemeClr val="tx1"/>
              </a:solidFill>
              <a:effectLst/>
              <a:latin typeface="+mn-lt"/>
              <a:ea typeface="Times New Roman"/>
              <a:cs typeface="+mn-cs"/>
            </a:rPr>
            <a:t> findings from each of</a:t>
          </a:r>
          <a:r>
            <a:rPr lang="en-US" sz="900">
              <a:solidFill>
                <a:schemeClr val="tx1"/>
              </a:solidFill>
              <a:effectLst/>
              <a:latin typeface="+mn-lt"/>
              <a:ea typeface="Times New Roman"/>
              <a:cs typeface="+mn-cs"/>
            </a:rPr>
            <a:t> the report sections,</a:t>
          </a:r>
          <a:r>
            <a:rPr lang="en-US" sz="900" baseline="0">
              <a:solidFill>
                <a:schemeClr val="tx1"/>
              </a:solidFill>
              <a:effectLst/>
              <a:latin typeface="+mn-lt"/>
              <a:ea typeface="Times New Roman"/>
              <a:cs typeface="+mn-cs"/>
            </a:rPr>
            <a:t> </a:t>
          </a:r>
          <a:r>
            <a:rPr lang="en-US" sz="900">
              <a:solidFill>
                <a:schemeClr val="tx1"/>
              </a:solidFill>
              <a:effectLst/>
              <a:latin typeface="+mn-lt"/>
              <a:ea typeface="Times New Roman"/>
              <a:cs typeface="+mn-cs"/>
            </a:rPr>
            <a:t>as</a:t>
          </a:r>
          <a:r>
            <a:rPr lang="en-US" sz="900" baseline="0">
              <a:solidFill>
                <a:schemeClr val="tx1"/>
              </a:solidFill>
              <a:effectLst/>
              <a:latin typeface="+mn-lt"/>
              <a:ea typeface="Times New Roman"/>
              <a:cs typeface="+mn-cs"/>
            </a:rPr>
            <a:t> well as</a:t>
          </a:r>
          <a:r>
            <a:rPr lang="en-US" sz="900">
              <a:solidFill>
                <a:schemeClr val="tx1"/>
              </a:solidFill>
              <a:effectLst/>
              <a:latin typeface="+mn-lt"/>
              <a:ea typeface="Times New Roman"/>
              <a:cs typeface="+mn-cs"/>
            </a:rPr>
            <a:t> the raw survey data. </a:t>
          </a:r>
          <a:r>
            <a:rPr lang="en-US" sz="900" b="0" u="sng">
              <a:solidFill>
                <a:schemeClr val="tx1"/>
              </a:solidFill>
              <a:effectLst/>
              <a:latin typeface="+mn-lt"/>
              <a:ea typeface="Times New Roman"/>
              <a:cs typeface="+mn-cs"/>
            </a:rPr>
            <a:t>Survey</a:t>
          </a:r>
          <a:r>
            <a:rPr lang="en-US" sz="900" b="0" u="sng" baseline="0">
              <a:solidFill>
                <a:schemeClr val="tx1"/>
              </a:solidFill>
              <a:effectLst/>
              <a:latin typeface="+mn-lt"/>
              <a:ea typeface="Times New Roman"/>
              <a:cs typeface="+mn-cs"/>
            </a:rPr>
            <a:t> findings that are </a:t>
          </a:r>
          <a:r>
            <a:rPr lang="en-US" sz="900" b="1" u="sng" baseline="0">
              <a:solidFill>
                <a:schemeClr val="tx2">
                  <a:lumMod val="75000"/>
                </a:schemeClr>
              </a:solidFill>
              <a:effectLst/>
              <a:latin typeface="+mn-lt"/>
              <a:ea typeface="Times New Roman"/>
              <a:cs typeface="+mn-cs"/>
            </a:rPr>
            <a:t>highlighted in orange</a:t>
          </a:r>
          <a:r>
            <a:rPr lang="en-US" sz="900" b="0" u="sng" baseline="0">
              <a:solidFill>
                <a:schemeClr val="tx1"/>
              </a:solidFill>
              <a:effectLst/>
              <a:latin typeface="+mn-lt"/>
              <a:ea typeface="Times New Roman"/>
              <a:cs typeface="+mn-cs"/>
            </a:rPr>
            <a:t> throughout the report represent areas for additional research and/or opportunities for improvement.</a:t>
          </a:r>
          <a:endParaRPr lang="en-US" sz="900" b="0" u="sng">
            <a:solidFill>
              <a:schemeClr val="tx1"/>
            </a:solidFill>
            <a:effectLst/>
            <a:latin typeface="+mn-lt"/>
            <a:ea typeface="Times New Roman"/>
            <a:cs typeface="+mn-cs"/>
          </a:endParaRPr>
        </a:p>
        <a:p>
          <a:pPr marL="0" marR="0">
            <a:spcAft>
              <a:spcPts val="1000"/>
            </a:spcAft>
          </a:pPr>
          <a:r>
            <a:rPr lang="en-US" sz="900">
              <a:solidFill>
                <a:schemeClr val="tx1"/>
              </a:solidFill>
              <a:effectLst/>
              <a:latin typeface="+mn-lt"/>
              <a:ea typeface="Times New Roman"/>
              <a:cs typeface="+mn-cs"/>
            </a:rPr>
            <a:t>In most of the report sections, you can break down some survey results by class standing or gender (female and male only). </a:t>
          </a:r>
          <a:r>
            <a:rPr lang="en-US" sz="900" b="0" u="sng">
              <a:solidFill>
                <a:schemeClr val="tx1"/>
              </a:solidFill>
              <a:effectLst/>
              <a:latin typeface="+mn-lt"/>
              <a:ea typeface="Times New Roman"/>
              <a:cs typeface="+mn-cs"/>
            </a:rPr>
            <a:t>A </a:t>
          </a:r>
          <a:r>
            <a:rPr lang="en-US" sz="900" b="1" u="sng">
              <a:solidFill>
                <a:schemeClr val="accent6"/>
              </a:solidFill>
              <a:effectLst/>
              <a:latin typeface="+mn-lt"/>
              <a:ea typeface="Times New Roman"/>
              <a:cs typeface="+mn-cs"/>
            </a:rPr>
            <a:t>blue button </a:t>
          </a:r>
          <a:r>
            <a:rPr lang="en-US" sz="900" b="0" u="sng">
              <a:solidFill>
                <a:schemeClr val="tx1"/>
              </a:solidFill>
              <a:effectLst/>
              <a:latin typeface="+mn-lt"/>
              <a:ea typeface="Times New Roman"/>
              <a:cs typeface="+mn-cs"/>
            </a:rPr>
            <a:t>at the top of a chart indicates this option.</a:t>
          </a:r>
          <a:r>
            <a:rPr lang="en-US" sz="900" b="1">
              <a:solidFill>
                <a:schemeClr val="tx1"/>
              </a:solidFill>
              <a:effectLst/>
              <a:latin typeface="+mn-lt"/>
              <a:ea typeface="Times New Roman"/>
              <a:cs typeface="+mn-cs"/>
            </a:rPr>
            <a:t> </a:t>
          </a:r>
          <a:r>
            <a:rPr lang="en-US" sz="900">
              <a:solidFill>
                <a:schemeClr val="tx1"/>
              </a:solidFill>
              <a:effectLst/>
              <a:latin typeface="+mn-lt"/>
              <a:ea typeface="Times New Roman"/>
              <a:cs typeface="+mn-cs"/>
            </a:rPr>
            <a:t>The results are not segmented by other student demographic categories either because counts in a given category were too low (15 students or less) to ensure student privacy, or because results were not substantially different across demographic characteristics. </a:t>
          </a:r>
        </a:p>
        <a:p>
          <a:pPr marL="0" marR="0">
            <a:spcAft>
              <a:spcPts val="1000"/>
            </a:spcAft>
          </a:pPr>
          <a:r>
            <a:rPr lang="en-US" sz="900">
              <a:solidFill>
                <a:schemeClr val="tx1"/>
              </a:solidFill>
              <a:effectLst/>
              <a:latin typeface="+mn-lt"/>
              <a:ea typeface="Times New Roman"/>
              <a:cs typeface="+mn-cs"/>
            </a:rPr>
            <a:t>We encourage you to partner with researchers at your institution</a:t>
          </a:r>
          <a:r>
            <a:rPr lang="en-US" sz="900" baseline="0">
              <a:solidFill>
                <a:schemeClr val="tx1"/>
              </a:solidFill>
              <a:effectLst/>
              <a:latin typeface="+mn-lt"/>
              <a:ea typeface="Times New Roman"/>
              <a:cs typeface="+mn-cs"/>
            </a:rPr>
            <a:t> to conduct further analyses of the survey data</a:t>
          </a:r>
          <a:r>
            <a:rPr lang="en-US" sz="900">
              <a:solidFill>
                <a:schemeClr val="tx1"/>
              </a:solidFill>
              <a:effectLst/>
              <a:latin typeface="+mn-lt"/>
              <a:ea typeface="Times New Roman"/>
              <a:cs typeface="+mn-cs"/>
            </a:rPr>
            <a:t>. You</a:t>
          </a:r>
          <a:r>
            <a:rPr lang="en-US" sz="900" baseline="0">
              <a:solidFill>
                <a:schemeClr val="tx1"/>
              </a:solidFill>
              <a:effectLst/>
              <a:latin typeface="+mn-lt"/>
              <a:ea typeface="Times New Roman"/>
              <a:cs typeface="+mn-cs"/>
            </a:rPr>
            <a:t> will</a:t>
          </a:r>
          <a:r>
            <a:rPr lang="en-US" sz="900">
              <a:solidFill>
                <a:schemeClr val="tx1"/>
              </a:solidFill>
              <a:effectLst/>
              <a:latin typeface="+mn-lt"/>
              <a:ea typeface="Times New Roman"/>
              <a:cs typeface="+mn-cs"/>
            </a:rPr>
            <a:t> be able to answer many institution-specific questions and gain additional insights as you explore</a:t>
          </a:r>
          <a:r>
            <a:rPr lang="en-US" sz="900" baseline="0">
              <a:solidFill>
                <a:schemeClr val="tx1"/>
              </a:solidFill>
              <a:effectLst/>
              <a:latin typeface="+mn-lt"/>
              <a:ea typeface="Times New Roman"/>
              <a:cs typeface="+mn-cs"/>
            </a:rPr>
            <a:t> the data over time.</a:t>
          </a:r>
          <a:endParaRPr lang="en-US" sz="900">
            <a:solidFill>
              <a:schemeClr val="tx1"/>
            </a:solidFill>
            <a:effectLst/>
            <a:latin typeface="+mn-lt"/>
            <a:ea typeface="Times New Roman"/>
            <a:cs typeface="+mn-cs"/>
          </a:endParaRPr>
        </a:p>
        <a:p>
          <a:pPr marL="0" marR="0">
            <a:spcAft>
              <a:spcPts val="1000"/>
            </a:spcAft>
          </a:pPr>
          <a:endParaRPr lang="en-US" sz="900">
            <a:solidFill>
              <a:schemeClr val="tx1"/>
            </a:solidFill>
            <a:effectLst/>
            <a:latin typeface="+mn-lt"/>
            <a:ea typeface="Times New Roman"/>
            <a:cs typeface="+mn-cs"/>
          </a:endParaRPr>
        </a:p>
        <a:p>
          <a:pPr marL="0" marR="0">
            <a:spcAft>
              <a:spcPts val="1000"/>
            </a:spcAft>
          </a:pPr>
          <a:r>
            <a:rPr lang="en-US" sz="900">
              <a:solidFill>
                <a:schemeClr val="tx1"/>
              </a:solidFill>
              <a:effectLst/>
              <a:latin typeface="+mn-lt"/>
              <a:ea typeface="Times New Roman"/>
              <a:cs typeface="+mn-cs"/>
            </a:rPr>
            <a:t> </a:t>
          </a:r>
        </a:p>
        <a:p>
          <a:pPr marL="0" marR="0">
            <a:spcAft>
              <a:spcPts val="1000"/>
            </a:spcAft>
          </a:pPr>
          <a:r>
            <a:rPr lang="en-US" sz="900">
              <a:solidFill>
                <a:schemeClr val="tx1"/>
              </a:solidFill>
              <a:effectLst/>
              <a:latin typeface="+mn-lt"/>
              <a:ea typeface="Times New Roman"/>
              <a:cs typeface="+mn-cs"/>
            </a:rPr>
            <a:t> </a:t>
          </a:r>
        </a:p>
        <a:p>
          <a:pPr marL="0" marR="0">
            <a:spcAft>
              <a:spcPts val="1000"/>
            </a:spcAft>
          </a:pPr>
          <a:endParaRPr lang="en-US" sz="900">
            <a:solidFill>
              <a:schemeClr val="tx1"/>
            </a:solidFill>
            <a:effectLst/>
            <a:latin typeface="+mn-lt"/>
            <a:ea typeface="Times New Roman"/>
            <a:cs typeface="+mn-cs"/>
          </a:endParaRPr>
        </a:p>
      </xdr:txBody>
    </xdr:sp>
    <xdr:clientData/>
  </xdr:twoCellAnchor>
  <xdr:twoCellAnchor>
    <xdr:from>
      <xdr:col>2</xdr:col>
      <xdr:colOff>501311</xdr:colOff>
      <xdr:row>3</xdr:row>
      <xdr:rowOff>10028</xdr:rowOff>
    </xdr:from>
    <xdr:to>
      <xdr:col>9</xdr:col>
      <xdr:colOff>723895</xdr:colOff>
      <xdr:row>34</xdr:row>
      <xdr:rowOff>81643</xdr:rowOff>
    </xdr:to>
    <xdr:sp macro="" textlink="">
      <xdr:nvSpPr>
        <xdr:cNvPr id="5" name="Line Callout 2 (No Border) 86"/>
        <xdr:cNvSpPr/>
      </xdr:nvSpPr>
      <xdr:spPr bwMode="gray">
        <a:xfrm>
          <a:off x="2528775" y="1248278"/>
          <a:ext cx="5461334" cy="5977115"/>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no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Overview of the EAB</a:t>
          </a:r>
          <a:r>
            <a:rPr lang="en-US" sz="900" b="1" kern="1200" baseline="0">
              <a:solidFill>
                <a:schemeClr val="tx1"/>
              </a:solidFill>
              <a:effectLst/>
              <a:ea typeface="Times New Roman"/>
              <a:cs typeface="Times New Roman"/>
            </a:rPr>
            <a:t> Campus Climate Survey</a:t>
          </a:r>
        </a:p>
        <a:p>
          <a:pPr marL="0" marR="0">
            <a:spcAft>
              <a:spcPts val="1000"/>
            </a:spcAft>
          </a:pPr>
          <a:r>
            <a:rPr lang="en-US" sz="900" b="0" i="1" kern="1200" baseline="0">
              <a:solidFill>
                <a:schemeClr val="tx1"/>
              </a:solidFill>
              <a:effectLst/>
              <a:ea typeface="Times New Roman"/>
              <a:cs typeface="Times New Roman"/>
            </a:rPr>
            <a:t>Purpose of the Survey</a:t>
          </a:r>
        </a:p>
        <a:p>
          <a:pPr marL="0" marR="0">
            <a:spcAft>
              <a:spcPts val="1000"/>
            </a:spcAft>
          </a:pPr>
          <a:r>
            <a:rPr lang="en-US" sz="900" b="0" kern="1200" baseline="0">
              <a:solidFill>
                <a:schemeClr val="tx1"/>
              </a:solidFill>
              <a:effectLst/>
              <a:ea typeface="Times New Roman"/>
              <a:cs typeface="Times New Roman"/>
            </a:rPr>
            <a:t>The EAB Sexual Violence Campus Climate Survey was developed by EAB, a best-practice research firm located in Washington, DC. EAB provides research for student affairs executives on innovative practices for improving student engagement and enhancing the student experience. </a:t>
          </a:r>
        </a:p>
        <a:p>
          <a:pPr marL="0" marR="0">
            <a:spcAft>
              <a:spcPts val="1000"/>
            </a:spcAft>
          </a:pPr>
          <a:r>
            <a:rPr lang="en-US" sz="900" b="0" kern="1200" baseline="0">
              <a:solidFill>
                <a:schemeClr val="tx1"/>
              </a:solidFill>
              <a:effectLst/>
              <a:ea typeface="Times New Roman"/>
              <a:cs typeface="Times New Roman"/>
            </a:rPr>
            <a:t>The purpose of the climate survey is to understand the scope and nature of sexual violence on college and university campuses.</a:t>
          </a:r>
        </a:p>
        <a:p>
          <a:pPr marL="0" marR="0">
            <a:spcAft>
              <a:spcPts val="1000"/>
            </a:spcAft>
          </a:pPr>
          <a:r>
            <a:rPr lang="en-US" sz="900" b="0" i="1" kern="1200" baseline="0">
              <a:solidFill>
                <a:schemeClr val="tx1"/>
              </a:solidFill>
              <a:effectLst/>
              <a:ea typeface="Times New Roman"/>
              <a:cs typeface="Times New Roman"/>
            </a:rPr>
            <a:t>Survey Design</a:t>
          </a:r>
          <a:endParaRPr lang="en-US" sz="900" b="1" i="1" kern="1200" baseline="0">
            <a:solidFill>
              <a:schemeClr val="tx1"/>
            </a:solidFill>
            <a:effectLst/>
            <a:ea typeface="Times New Roman"/>
            <a:cs typeface="Times New Roman"/>
          </a:endParaRPr>
        </a:p>
        <a:p>
          <a:pPr marL="0" marR="0">
            <a:spcAft>
              <a:spcPts val="1000"/>
            </a:spcAft>
          </a:pPr>
          <a:r>
            <a:rPr lang="en-US" sz="900">
              <a:solidFill>
                <a:schemeClr val="tx1"/>
              </a:solidFill>
              <a:effectLst/>
              <a:ea typeface="Times New Roman"/>
            </a:rPr>
            <a:t>The EAB Campus Climate Survey is an anonymous online instrument that assesses students' perceptions, behaviors, attitudes, and experiences with regards to sexual violence on campus.</a:t>
          </a:r>
          <a:r>
            <a:rPr lang="en-US" sz="900" baseline="0">
              <a:solidFill>
                <a:schemeClr val="tx1"/>
              </a:solidFill>
              <a:effectLst/>
              <a:ea typeface="Times New Roman"/>
            </a:rPr>
            <a:t> </a:t>
          </a:r>
          <a:r>
            <a:rPr lang="en-US" sz="900">
              <a:solidFill>
                <a:schemeClr val="tx1"/>
              </a:solidFill>
              <a:effectLst/>
              <a:ea typeface="Times New Roman"/>
            </a:rPr>
            <a:t>The survey consists</a:t>
          </a:r>
          <a:r>
            <a:rPr lang="en-US" sz="900" baseline="0">
              <a:solidFill>
                <a:schemeClr val="tx1"/>
              </a:solidFill>
              <a:effectLst/>
              <a:ea typeface="Times New Roman"/>
            </a:rPr>
            <a:t> of a </a:t>
          </a:r>
          <a:r>
            <a:rPr lang="en-US" sz="900">
              <a:solidFill>
                <a:schemeClr val="tx1"/>
              </a:solidFill>
              <a:effectLst/>
              <a:ea typeface="Times New Roman"/>
            </a:rPr>
            <a:t>core section and three optional</a:t>
          </a:r>
          <a:r>
            <a:rPr lang="en-US" sz="900" baseline="0">
              <a:solidFill>
                <a:schemeClr val="tx1"/>
              </a:solidFill>
              <a:effectLst/>
              <a:ea typeface="Times New Roman"/>
            </a:rPr>
            <a:t> </a:t>
          </a:r>
          <a:r>
            <a:rPr lang="en-US" sz="900">
              <a:solidFill>
                <a:schemeClr val="tx1"/>
              </a:solidFill>
              <a:effectLst/>
              <a:ea typeface="Times New Roman"/>
            </a:rPr>
            <a:t>modules (Community Behaviors, Community Attitudes, and Relationship Dynamics). </a:t>
          </a:r>
        </a:p>
        <a:p>
          <a:pPr marL="0" marR="0">
            <a:spcAft>
              <a:spcPts val="1000"/>
            </a:spcAft>
          </a:pPr>
          <a:r>
            <a:rPr lang="en-US" sz="900">
              <a:solidFill>
                <a:schemeClr val="tx1"/>
              </a:solidFill>
              <a:effectLst/>
              <a:ea typeface="Times New Roman"/>
            </a:rPr>
            <a:t>Survey</a:t>
          </a:r>
          <a:r>
            <a:rPr lang="en-US" sz="900" baseline="0">
              <a:solidFill>
                <a:schemeClr val="tx1"/>
              </a:solidFill>
              <a:effectLst/>
              <a:ea typeface="Times New Roman"/>
            </a:rPr>
            <a:t> questions about prevention training received, bystander actions, and experiences with sexual violence, harassment, and intimate partner violence are restricted to students' experiences </a:t>
          </a:r>
          <a:r>
            <a:rPr lang="en-US" sz="900" u="sng" baseline="0">
              <a:solidFill>
                <a:schemeClr val="tx1"/>
              </a:solidFill>
              <a:effectLst/>
              <a:ea typeface="Times New Roman"/>
            </a:rPr>
            <a:t>since the beginning of the fall 2015 semester.</a:t>
          </a:r>
          <a:r>
            <a:rPr lang="en-US" sz="900" u="none" baseline="0">
              <a:solidFill>
                <a:schemeClr val="tx1"/>
              </a:solidFill>
              <a:effectLst/>
              <a:ea typeface="Times New Roman"/>
            </a:rPr>
            <a:t> </a:t>
          </a:r>
        </a:p>
        <a:p>
          <a:pPr marL="0" marR="0">
            <a:spcAft>
              <a:spcPts val="1000"/>
            </a:spcAft>
          </a:pPr>
          <a:r>
            <a:rPr lang="en-US" sz="900" b="0" i="1">
              <a:solidFill>
                <a:schemeClr val="tx1"/>
              </a:solidFill>
              <a:effectLst/>
              <a:ea typeface="Times New Roman"/>
            </a:rPr>
            <a:t>Survey Development</a:t>
          </a:r>
        </a:p>
        <a:p>
          <a:pPr marL="0" marR="0">
            <a:spcAft>
              <a:spcPts val="1000"/>
            </a:spcAft>
          </a:pPr>
          <a:r>
            <a:rPr lang="en-US" sz="900">
              <a:solidFill>
                <a:schemeClr val="tx1"/>
              </a:solidFill>
              <a:effectLst/>
              <a:ea typeface="Times New Roman"/>
            </a:rPr>
            <a:t>To design the EAB Campus Climate Survey, the research team conducted an exhaustive literature review on sexual violence that included empirical research studies, relevant legislation, existing surveys, and White House task force and Department of Education guidance about current issues of sexual violence across higher education institutions. </a:t>
          </a:r>
        </a:p>
        <a:p>
          <a:pPr marL="0" marR="0">
            <a:spcAft>
              <a:spcPts val="1000"/>
            </a:spcAft>
          </a:pPr>
          <a:r>
            <a:rPr lang="en-US" sz="900" b="0" i="1">
              <a:solidFill>
                <a:schemeClr val="tx1"/>
              </a:solidFill>
              <a:effectLst/>
              <a:ea typeface="Times New Roman"/>
            </a:rPr>
            <a:t>Testing</a:t>
          </a:r>
          <a:r>
            <a:rPr lang="en-US" sz="900" b="0" i="1" baseline="0">
              <a:solidFill>
                <a:schemeClr val="tx1"/>
              </a:solidFill>
              <a:effectLst/>
              <a:ea typeface="Times New Roman"/>
            </a:rPr>
            <a:t> the Survey</a:t>
          </a:r>
          <a:endParaRPr lang="en-US" sz="900" b="0" i="1">
            <a:solidFill>
              <a:schemeClr val="tx1"/>
            </a:solidFill>
            <a:effectLst/>
            <a:ea typeface="Times New Roman"/>
          </a:endParaRPr>
        </a:p>
        <a:p>
          <a:pPr marL="0" marR="0">
            <a:spcAft>
              <a:spcPts val="1000"/>
            </a:spcAft>
          </a:pPr>
          <a:r>
            <a:rPr lang="en-US" sz="900">
              <a:solidFill>
                <a:schemeClr val="tx1"/>
              </a:solidFill>
              <a:effectLst/>
              <a:ea typeface="Times New Roman"/>
            </a:rPr>
            <a:t>Individuals at colleges and universities in</a:t>
          </a:r>
          <a:r>
            <a:rPr lang="en-US" sz="900" baseline="0">
              <a:solidFill>
                <a:schemeClr val="tx1"/>
              </a:solidFill>
              <a:effectLst/>
              <a:ea typeface="Times New Roman"/>
            </a:rPr>
            <a:t> the U.S. and Canada</a:t>
          </a:r>
          <a:r>
            <a:rPr lang="en-US" sz="900">
              <a:solidFill>
                <a:schemeClr val="tx1"/>
              </a:solidFill>
              <a:effectLst/>
              <a:ea typeface="Times New Roman"/>
            </a:rPr>
            <a:t> reviewed and provided feedback on the EAB Campus Climate Survey. The individuals who reviewed the survey at these institutions filled the following roles: assessment expert, counselor, faculty, prevention specialist, sexual assault expert, Title IX Coordinator, and Vice President of Student Affairs. The survey was also cognitively tested with recent college graduates to ensure that the language and content of the survey was relevant to their experience.</a:t>
          </a:r>
        </a:p>
      </xdr:txBody>
    </xdr:sp>
    <xdr:clientData/>
  </xdr:twoCellAnchor>
  <xdr:twoCellAnchor>
    <xdr:from>
      <xdr:col>2</xdr:col>
      <xdr:colOff>90232</xdr:colOff>
      <xdr:row>5</xdr:row>
      <xdr:rowOff>88041</xdr:rowOff>
    </xdr:from>
    <xdr:to>
      <xdr:col>2</xdr:col>
      <xdr:colOff>547432</xdr:colOff>
      <xdr:row>26</xdr:row>
      <xdr:rowOff>136261</xdr:rowOff>
    </xdr:to>
    <xdr:grpSp>
      <xdr:nvGrpSpPr>
        <xdr:cNvPr id="6" name="Group 5"/>
        <xdr:cNvGrpSpPr/>
      </xdr:nvGrpSpPr>
      <xdr:grpSpPr>
        <a:xfrm>
          <a:off x="2122232" y="1707291"/>
          <a:ext cx="457200" cy="4048720"/>
          <a:chOff x="1985210" y="1734806"/>
          <a:chExt cx="457200" cy="4069453"/>
        </a:xfrm>
      </xdr:grpSpPr>
      <xdr:pic>
        <xdr:nvPicPr>
          <xdr:cNvPr id="7" name="Picture 6" descr="L:\public\share\ABC Templates and Resources\EAB Templates and Resources\EAB Art Icons Logos\EAB Icons\Clipboard.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540" y="1734806"/>
            <a:ext cx="256540" cy="365760"/>
          </a:xfrm>
          <a:prstGeom prst="rect">
            <a:avLst/>
          </a:prstGeom>
          <a:noFill/>
          <a:ln>
            <a:noFill/>
          </a:ln>
        </xdr:spPr>
      </xdr:pic>
      <xdr:pic>
        <xdr:nvPicPr>
          <xdr:cNvPr id="8" name="Picture 7" descr="L:\public\share\ABC Templates and Resources\EAB Templates and Resources\EAB Art Icons Logos\EAB Icons\Computer_1.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0930" y="3097718"/>
            <a:ext cx="365760" cy="300228"/>
          </a:xfrm>
          <a:prstGeom prst="rect">
            <a:avLst/>
          </a:prstGeom>
          <a:noFill/>
          <a:ln>
            <a:noFill/>
          </a:ln>
        </xdr:spPr>
      </xdr:pic>
      <xdr:pic>
        <xdr:nvPicPr>
          <xdr:cNvPr id="9" name="Picture 8" descr="L:\public\share\ABC Templates and Resources\EAB Templates and Resources\EAB Art Icons Logos\EAB Icons\Pencil.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30930" y="4582239"/>
            <a:ext cx="365760" cy="365759"/>
          </a:xfrm>
          <a:prstGeom prst="rect">
            <a:avLst/>
          </a:prstGeom>
          <a:noFill/>
          <a:ln>
            <a:noFill/>
          </a:ln>
        </xdr:spPr>
      </xdr:pic>
      <xdr:pic>
        <xdr:nvPicPr>
          <xdr:cNvPr id="10" name="Picture 9" descr="L:\public\share\ABC Templates and Resources\EAB Templates and Resources\EAB Art Icons Logos\EAB Icons\Meeting_2_people.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5210" y="5544861"/>
            <a:ext cx="457200" cy="259398"/>
          </a:xfrm>
          <a:prstGeom prst="rect">
            <a:avLst/>
          </a:prstGeom>
          <a:noFill/>
          <a:ln>
            <a:noFill/>
          </a:ln>
        </xdr:spPr>
      </xdr:pic>
    </xdr:grpSp>
    <xdr:clientData/>
  </xdr:twoCellAnchor>
  <xdr:twoCellAnchor>
    <xdr:from>
      <xdr:col>10</xdr:col>
      <xdr:colOff>134353</xdr:colOff>
      <xdr:row>16</xdr:row>
      <xdr:rowOff>20046</xdr:rowOff>
    </xdr:from>
    <xdr:to>
      <xdr:col>16</xdr:col>
      <xdr:colOff>1108911</xdr:colOff>
      <xdr:row>34</xdr:row>
      <xdr:rowOff>81643</xdr:rowOff>
    </xdr:to>
    <xdr:sp macro="" textlink="">
      <xdr:nvSpPr>
        <xdr:cNvPr id="11" name="Line Callout 2 (No Border) 86"/>
        <xdr:cNvSpPr/>
      </xdr:nvSpPr>
      <xdr:spPr bwMode="gray">
        <a:xfrm>
          <a:off x="8148960" y="3734796"/>
          <a:ext cx="5464915" cy="3490597"/>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no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a:solidFill>
                <a:schemeClr val="tx1"/>
              </a:solidFill>
              <a:effectLst/>
              <a:latin typeface="+mn-lt"/>
              <a:ea typeface="Times New Roman"/>
              <a:cs typeface="+mn-cs"/>
            </a:rPr>
            <a:t>EAB Support and Resources</a:t>
          </a:r>
        </a:p>
        <a:p>
          <a:pPr marL="0" marR="0">
            <a:spcAft>
              <a:spcPts val="1000"/>
            </a:spcAft>
          </a:pPr>
          <a:r>
            <a:rPr lang="en-US" sz="900" b="0" i="1">
              <a:solidFill>
                <a:schemeClr val="tx1"/>
              </a:solidFill>
              <a:effectLst/>
              <a:latin typeface="+mn-lt"/>
              <a:ea typeface="Times New Roman"/>
              <a:cs typeface="+mn-cs"/>
            </a:rPr>
            <a:t>Using</a:t>
          </a:r>
          <a:r>
            <a:rPr lang="en-US" sz="900" b="0" i="1" baseline="0">
              <a:solidFill>
                <a:schemeClr val="tx1"/>
              </a:solidFill>
              <a:effectLst/>
              <a:latin typeface="+mn-lt"/>
              <a:ea typeface="Times New Roman"/>
              <a:cs typeface="+mn-cs"/>
            </a:rPr>
            <a:t> the Survey Data to Make an Impact</a:t>
          </a:r>
        </a:p>
        <a:p>
          <a:pPr marL="0" marR="0">
            <a:spcAft>
              <a:spcPts val="1000"/>
            </a:spcAft>
          </a:pPr>
          <a:r>
            <a:rPr lang="en-US" sz="900" b="0" i="0" baseline="0">
              <a:solidFill>
                <a:schemeClr val="tx1"/>
              </a:solidFill>
              <a:effectLst/>
              <a:latin typeface="+mn-lt"/>
              <a:ea typeface="Times New Roman"/>
              <a:cs typeface="+mn-cs"/>
            </a:rPr>
            <a:t>At eab.com, you can find guidance on how to best share findings with the campus community and how to use survey results to better target prevention and response strategies on campus. </a:t>
          </a:r>
        </a:p>
        <a:p>
          <a:pPr marL="0" marR="0">
            <a:spcAft>
              <a:spcPts val="1000"/>
            </a:spcAft>
          </a:pPr>
          <a:r>
            <a:rPr lang="en-US" sz="900" b="0" i="1">
              <a:solidFill>
                <a:schemeClr val="tx1"/>
              </a:solidFill>
              <a:effectLst/>
              <a:latin typeface="+mn-lt"/>
              <a:ea typeface="Times New Roman"/>
              <a:cs typeface="+mn-cs"/>
            </a:rPr>
            <a:t>Ongoing Research</a:t>
          </a:r>
          <a:r>
            <a:rPr lang="en-US" sz="900" b="0" i="1" baseline="0">
              <a:solidFill>
                <a:schemeClr val="tx1"/>
              </a:solidFill>
              <a:effectLst/>
              <a:latin typeface="+mn-lt"/>
              <a:ea typeface="Times New Roman"/>
              <a:cs typeface="+mn-cs"/>
            </a:rPr>
            <a:t> </a:t>
          </a:r>
        </a:p>
        <a:p>
          <a:pPr marL="0" marR="0">
            <a:spcAft>
              <a:spcPts val="1000"/>
            </a:spcAft>
          </a:pPr>
          <a:r>
            <a:rPr lang="en-US" sz="900" b="0">
              <a:solidFill>
                <a:schemeClr val="tx1"/>
              </a:solidFill>
              <a:effectLst/>
              <a:latin typeface="+mn-lt"/>
              <a:ea typeface="Times New Roman"/>
              <a:cs typeface="+mn-cs"/>
            </a:rPr>
            <a:t>The climate survey is just one component of EAB's ongoing work addressing campus</a:t>
          </a:r>
          <a:r>
            <a:rPr lang="en-US" sz="900" b="0" baseline="0">
              <a:solidFill>
                <a:schemeClr val="tx1"/>
              </a:solidFill>
              <a:effectLst/>
              <a:latin typeface="+mn-lt"/>
              <a:ea typeface="Times New Roman"/>
              <a:cs typeface="+mn-cs"/>
            </a:rPr>
            <a:t> </a:t>
          </a:r>
          <a:r>
            <a:rPr lang="en-US" sz="900" b="0">
              <a:solidFill>
                <a:schemeClr val="tx1"/>
              </a:solidFill>
              <a:effectLst/>
              <a:latin typeface="+mn-lt"/>
              <a:ea typeface="Times New Roman"/>
              <a:cs typeface="+mn-cs"/>
            </a:rPr>
            <a:t>sexual violence. Recent work</a:t>
          </a:r>
          <a:r>
            <a:rPr lang="en-US" sz="900" b="0" baseline="0">
              <a:solidFill>
                <a:schemeClr val="tx1"/>
              </a:solidFill>
              <a:effectLst/>
              <a:latin typeface="+mn-lt"/>
              <a:ea typeface="Times New Roman"/>
              <a:cs typeface="+mn-cs"/>
            </a:rPr>
            <a:t> from the Student Affairs Forum includes topics like prevention programming, building an effective university infrastructure, and campus reporting. </a:t>
          </a:r>
          <a:r>
            <a:rPr lang="en-US" sz="900" b="0">
              <a:solidFill>
                <a:schemeClr val="tx1"/>
              </a:solidFill>
              <a:effectLst/>
              <a:latin typeface="+mn-lt"/>
              <a:ea typeface="Times New Roman"/>
              <a:cs typeface="+mn-cs"/>
            </a:rPr>
            <a:t>You can access</a:t>
          </a:r>
          <a:r>
            <a:rPr lang="en-US" sz="900" b="0" baseline="0">
              <a:solidFill>
                <a:schemeClr val="tx1"/>
              </a:solidFill>
              <a:effectLst/>
              <a:latin typeface="+mn-lt"/>
              <a:ea typeface="Times New Roman"/>
              <a:cs typeface="+mn-cs"/>
            </a:rPr>
            <a:t> full white papers, studies, implementation toolkits, and archived </a:t>
          </a:r>
          <a:r>
            <a:rPr lang="en-US" sz="900" b="0">
              <a:solidFill>
                <a:schemeClr val="tx1"/>
              </a:solidFill>
              <a:effectLst/>
              <a:latin typeface="+mn-lt"/>
              <a:ea typeface="Times New Roman"/>
              <a:cs typeface="+mn-cs"/>
            </a:rPr>
            <a:t>webconferences about these topics at eab.com. </a:t>
          </a:r>
        </a:p>
        <a:p>
          <a:pPr marL="0" marR="0">
            <a:spcAft>
              <a:spcPts val="1000"/>
            </a:spcAft>
          </a:pPr>
          <a:r>
            <a:rPr lang="en-US" sz="900" b="0" i="1">
              <a:solidFill>
                <a:schemeClr val="tx1"/>
              </a:solidFill>
              <a:effectLst/>
              <a:latin typeface="+mn-lt"/>
              <a:ea typeface="Times New Roman"/>
              <a:cs typeface="+mn-cs"/>
            </a:rPr>
            <a:t>Additional Resources </a:t>
          </a:r>
        </a:p>
        <a:p>
          <a:pPr marL="0" marR="0">
            <a:spcAft>
              <a:spcPts val="1000"/>
            </a:spcAft>
          </a:pPr>
          <a:r>
            <a:rPr lang="en-US" sz="900" b="0">
              <a:solidFill>
                <a:schemeClr val="tx1"/>
              </a:solidFill>
              <a:effectLst/>
              <a:latin typeface="+mn-lt"/>
              <a:ea typeface="Times New Roman"/>
              <a:cs typeface="+mn-cs"/>
            </a:rPr>
            <a:t>The</a:t>
          </a:r>
          <a:r>
            <a:rPr lang="en-US" sz="900" b="0" baseline="0">
              <a:solidFill>
                <a:schemeClr val="tx1"/>
              </a:solidFill>
              <a:effectLst/>
              <a:latin typeface="+mn-lt"/>
              <a:ea typeface="Times New Roman"/>
              <a:cs typeface="+mn-cs"/>
            </a:rPr>
            <a:t> </a:t>
          </a:r>
          <a:r>
            <a:rPr lang="en-US" sz="900" b="0">
              <a:solidFill>
                <a:schemeClr val="tx1"/>
              </a:solidFill>
              <a:effectLst/>
              <a:latin typeface="+mn-lt"/>
              <a:ea typeface="Times New Roman"/>
              <a:cs typeface="+mn-cs"/>
            </a:rPr>
            <a:t>Sexual Violence Prevention and Response Resource Hub is an</a:t>
          </a:r>
          <a:r>
            <a:rPr lang="en-US" sz="900" b="0" baseline="0">
              <a:solidFill>
                <a:schemeClr val="tx1"/>
              </a:solidFill>
              <a:effectLst/>
              <a:latin typeface="+mn-lt"/>
              <a:ea typeface="Times New Roman"/>
              <a:cs typeface="+mn-cs"/>
            </a:rPr>
            <a:t> online </a:t>
          </a:r>
          <a:r>
            <a:rPr lang="en-US" sz="900" b="0">
              <a:solidFill>
                <a:schemeClr val="tx1"/>
              </a:solidFill>
              <a:effectLst/>
              <a:latin typeface="+mn-lt"/>
              <a:ea typeface="Times New Roman"/>
              <a:cs typeface="+mn-cs"/>
            </a:rPr>
            <a:t>repository of guidance documents, tools, and resources from EAB and others that provide promising practices to effectively address sexual violence on campus. You can access the hub on eab.com.</a:t>
          </a:r>
          <a:endParaRPr lang="en-US" sz="900">
            <a:solidFill>
              <a:schemeClr val="tx1"/>
            </a:solidFill>
            <a:effectLst/>
            <a:latin typeface="+mn-lt"/>
            <a:ea typeface="Times New Roman"/>
            <a:cs typeface="+mn-cs"/>
          </a:endParaRPr>
        </a:p>
        <a:p>
          <a:pPr marL="0" marR="0">
            <a:spcAft>
              <a:spcPts val="1000"/>
            </a:spcAft>
          </a:pPr>
          <a:r>
            <a:rPr lang="en-US" sz="900">
              <a:solidFill>
                <a:schemeClr val="tx1"/>
              </a:solidFill>
              <a:effectLst/>
              <a:latin typeface="+mn-lt"/>
              <a:ea typeface="Times New Roman"/>
              <a:cs typeface="+mn-cs"/>
            </a:rPr>
            <a:t> </a:t>
          </a:r>
        </a:p>
        <a:p>
          <a:pPr marL="0" marR="0">
            <a:spcAft>
              <a:spcPts val="1000"/>
            </a:spcAft>
          </a:pPr>
          <a:r>
            <a:rPr lang="en-US" sz="900">
              <a:solidFill>
                <a:schemeClr val="tx1"/>
              </a:solidFill>
              <a:effectLst/>
              <a:latin typeface="+mn-lt"/>
              <a:ea typeface="Times New Roman"/>
              <a:cs typeface="+mn-cs"/>
            </a:rPr>
            <a:t> </a:t>
          </a:r>
        </a:p>
        <a:p>
          <a:pPr marL="0" marR="0">
            <a:spcAft>
              <a:spcPts val="1000"/>
            </a:spcAft>
          </a:pPr>
          <a:endParaRPr lang="en-US" sz="900">
            <a:solidFill>
              <a:schemeClr val="tx1"/>
            </a:solidFill>
            <a:effectLst/>
            <a:latin typeface="+mn-lt"/>
            <a:ea typeface="Times New Roman"/>
            <a:cs typeface="+mn-cs"/>
          </a:endParaRPr>
        </a:p>
      </xdr:txBody>
    </xdr:sp>
    <xdr:clientData/>
  </xdr:twoCellAnchor>
  <xdr:twoCellAnchor>
    <xdr:from>
      <xdr:col>16</xdr:col>
      <xdr:colOff>837239</xdr:colOff>
      <xdr:row>3</xdr:row>
      <xdr:rowOff>10023</xdr:rowOff>
    </xdr:from>
    <xdr:to>
      <xdr:col>16</xdr:col>
      <xdr:colOff>1108911</xdr:colOff>
      <xdr:row>4</xdr:row>
      <xdr:rowOff>1546</xdr:rowOff>
    </xdr:to>
    <xdr:grpSp>
      <xdr:nvGrpSpPr>
        <xdr:cNvPr id="12" name="Group 11"/>
        <xdr:cNvGrpSpPr/>
      </xdr:nvGrpSpPr>
      <xdr:grpSpPr bwMode="gray">
        <a:xfrm>
          <a:off x="13389072" y="1248273"/>
          <a:ext cx="271672" cy="182023"/>
          <a:chOff x="5569224" y="1247744"/>
          <a:chExt cx="271672" cy="181522"/>
        </a:xfrm>
      </xdr:grpSpPr>
      <xdr:sp macro="" textlink="">
        <xdr:nvSpPr>
          <xdr:cNvPr id="13" name="Rectangle 12"/>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14" name="Round Same Side Corner Rectangle 13"/>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15" name="Group 14"/>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16" name="Freeform 15"/>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17" name="Freeform 16"/>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15</xdr:col>
      <xdr:colOff>633808</xdr:colOff>
      <xdr:row>35</xdr:row>
      <xdr:rowOff>27901</xdr:rowOff>
    </xdr:from>
    <xdr:to>
      <xdr:col>16</xdr:col>
      <xdr:colOff>1084982</xdr:colOff>
      <xdr:row>36</xdr:row>
      <xdr:rowOff>163223</xdr:rowOff>
    </xdr:to>
    <xdr:pic>
      <xdr:nvPicPr>
        <xdr:cNvPr id="18" name="Picture 17">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390379" y="7362151"/>
          <a:ext cx="1199567" cy="325822"/>
        </a:xfrm>
        <a:prstGeom prst="rect">
          <a:avLst/>
        </a:prstGeom>
        <a:noFill/>
        <a:ln>
          <a:noFill/>
        </a:ln>
      </xdr:spPr>
    </xdr:pic>
    <xdr:clientData/>
  </xdr:twoCellAnchor>
  <xdr:twoCellAnchor>
    <xdr:from>
      <xdr:col>0</xdr:col>
      <xdr:colOff>0</xdr:colOff>
      <xdr:row>2</xdr:row>
      <xdr:rowOff>0</xdr:rowOff>
    </xdr:from>
    <xdr:to>
      <xdr:col>1</xdr:col>
      <xdr:colOff>30079</xdr:colOff>
      <xdr:row>30</xdr:row>
      <xdr:rowOff>53175</xdr:rowOff>
    </xdr:to>
    <xdr:grpSp>
      <xdr:nvGrpSpPr>
        <xdr:cNvPr id="19" name="Group 18"/>
        <xdr:cNvGrpSpPr/>
      </xdr:nvGrpSpPr>
      <xdr:grpSpPr>
        <a:xfrm>
          <a:off x="0" y="1047750"/>
          <a:ext cx="1786912" cy="5387175"/>
          <a:chOff x="0" y="1052763"/>
          <a:chExt cx="1784684" cy="5387175"/>
        </a:xfrm>
      </xdr:grpSpPr>
      <xdr:sp macro="" textlink="">
        <xdr:nvSpPr>
          <xdr:cNvPr id="20" name="TextBox 19"/>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21" name="TextBox 20">
            <a:hlinkClick xmlns:r="http://schemas.openxmlformats.org/officeDocument/2006/relationships" r:id="rId8"/>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2" name="TextBox 21">
            <a:hlinkClick xmlns:r="http://schemas.openxmlformats.org/officeDocument/2006/relationships" r:id="rId9"/>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23" name="TextBox 22">
            <a:hlinkClick xmlns:r="http://schemas.openxmlformats.org/officeDocument/2006/relationships" r:id="rId10"/>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24" name="TextBox 23">
            <a:hlinkClick xmlns:r="http://schemas.openxmlformats.org/officeDocument/2006/relationships" r:id="rId11"/>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25" name="TextBox 24">
            <a:hlinkClick xmlns:r="http://schemas.openxmlformats.org/officeDocument/2006/relationships" r:id="rId12"/>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26" name="TextBox 25">
            <a:hlinkClick xmlns:r="http://schemas.openxmlformats.org/officeDocument/2006/relationships" r:id="rId13"/>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28" name="TextBox 27">
            <a:hlinkClick xmlns:r="http://schemas.openxmlformats.org/officeDocument/2006/relationships" r:id="rId14"/>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29" name="TextBox 28">
            <a:hlinkClick xmlns:r="http://schemas.openxmlformats.org/officeDocument/2006/relationships" r:id="rId15"/>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30" name="TextBox 29">
            <a:hlinkClick xmlns:r="http://schemas.openxmlformats.org/officeDocument/2006/relationships" r:id="rId6"/>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31" name="TextBox 30">
            <a:hlinkClick xmlns:r="http://schemas.openxmlformats.org/officeDocument/2006/relationships" r:id="rId16"/>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32" name="TextBox 31">
            <a:hlinkClick xmlns:r="http://schemas.openxmlformats.org/officeDocument/2006/relationships" r:id="rId17"/>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33" name="TextBox 32">
            <a:hlinkClick xmlns:r="http://schemas.openxmlformats.org/officeDocument/2006/relationships" r:id="rId18"/>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34" name="TextBox 33">
            <a:hlinkClick xmlns:r="http://schemas.openxmlformats.org/officeDocument/2006/relationships" r:id="rId19"/>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2007</xdr:colOff>
      <xdr:row>2</xdr:row>
      <xdr:rowOff>185815</xdr:rowOff>
    </xdr:from>
    <xdr:to>
      <xdr:col>2</xdr:col>
      <xdr:colOff>2320941</xdr:colOff>
      <xdr:row>12</xdr:row>
      <xdr:rowOff>47626</xdr:rowOff>
    </xdr:to>
    <xdr:grpSp>
      <xdr:nvGrpSpPr>
        <xdr:cNvPr id="2" name="Group 1"/>
        <xdr:cNvGrpSpPr/>
      </xdr:nvGrpSpPr>
      <xdr:grpSpPr>
        <a:xfrm>
          <a:off x="2034007" y="1233565"/>
          <a:ext cx="2318934" cy="1862061"/>
          <a:chOff x="1982707" y="1198475"/>
          <a:chExt cx="2323446" cy="1856806"/>
        </a:xfrm>
      </xdr:grpSpPr>
      <xdr:sp macro="" textlink="">
        <xdr:nvSpPr>
          <xdr:cNvPr id="3" name="Line Callout 2 (No Border) 86"/>
          <xdr:cNvSpPr/>
        </xdr:nvSpPr>
        <xdr:spPr bwMode="gray">
          <a:xfrm>
            <a:off x="1982707" y="1198475"/>
            <a:ext cx="2318586" cy="1856806"/>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Seventy-one survey respondents experienced some form of intimate partner violence.</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Of the 21 respondents that reported being physically injured by a partner, only four sought medical attention.</a:t>
            </a:r>
          </a:p>
          <a:p>
            <a:pPr marL="128016" marR="0" lvl="0" indent="-128016">
              <a:spcBef>
                <a:spcPts val="500"/>
              </a:spcBef>
              <a:spcAft>
                <a:spcPts val="0"/>
              </a:spcAft>
              <a:buSzPts val="800"/>
              <a:buFont typeface="Verdana"/>
              <a:buChar char="•"/>
            </a:pPr>
            <a:endParaRPr lang="en-US" sz="900" baseline="0">
              <a:solidFill>
                <a:schemeClr val="tx1"/>
              </a:solidFill>
              <a:effectLst/>
              <a:ea typeface="Times New Roman"/>
            </a:endParaRPr>
          </a:p>
        </xdr:txBody>
      </xdr:sp>
      <xdr:grpSp>
        <xdr:nvGrpSpPr>
          <xdr:cNvPr id="4" name="Group 3"/>
          <xdr:cNvGrpSpPr/>
        </xdr:nvGrpSpPr>
        <xdr:grpSpPr bwMode="gray">
          <a:xfrm>
            <a:off x="4028761" y="1202174"/>
            <a:ext cx="277392" cy="175673"/>
            <a:chOff x="5569224" y="1247744"/>
            <a:chExt cx="271672" cy="181522"/>
          </a:xfrm>
        </xdr:grpSpPr>
        <xdr:sp macro="" textlink="">
          <xdr:nvSpPr>
            <xdr:cNvPr id="5" name="Rectangle 4"/>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6" name="Round Same Side Corner Rectangle 5"/>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7" name="Group 6"/>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8" name="Freeform 7"/>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9" name="Freeform 8"/>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grpSp>
    <xdr:clientData/>
  </xdr:twoCellAnchor>
  <xdr:twoCellAnchor>
    <xdr:from>
      <xdr:col>7</xdr:col>
      <xdr:colOff>363288</xdr:colOff>
      <xdr:row>2</xdr:row>
      <xdr:rowOff>175788</xdr:rowOff>
    </xdr:from>
    <xdr:to>
      <xdr:col>10</xdr:col>
      <xdr:colOff>716585</xdr:colOff>
      <xdr:row>19</xdr:row>
      <xdr:rowOff>10024</xdr:rowOff>
    </xdr:to>
    <xdr:sp macro="" textlink="">
      <xdr:nvSpPr>
        <xdr:cNvPr id="10" name="Line Callout 2 (No Border) 86"/>
        <xdr:cNvSpPr/>
      </xdr:nvSpPr>
      <xdr:spPr bwMode="gray">
        <a:xfrm>
          <a:off x="8113630" y="1228551"/>
          <a:ext cx="3511587" cy="3152947"/>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Interpret This Chart </a:t>
          </a:r>
          <a:endParaRPr lang="en-US" sz="1200" b="0" kern="0">
            <a:solidFill>
              <a:schemeClr val="tx1"/>
            </a:solidFill>
            <a:effectLst/>
            <a:latin typeface="Times New Roman"/>
            <a:ea typeface="Times New Roman"/>
            <a:cs typeface="+mn-cs"/>
          </a:endParaRPr>
        </a:p>
        <a:p>
          <a:pPr marL="0" marR="0">
            <a:spcAft>
              <a:spcPts val="1000"/>
            </a:spcAft>
          </a:pPr>
          <a:r>
            <a:rPr lang="en-US" sz="900" baseline="0">
              <a:solidFill>
                <a:schemeClr val="tx1"/>
              </a:solidFill>
              <a:effectLst/>
              <a:ea typeface="Times New Roman"/>
            </a:rPr>
            <a:t>Respondents </a:t>
          </a:r>
          <a:r>
            <a:rPr lang="en-US" sz="900">
              <a:solidFill>
                <a:schemeClr val="tx1"/>
              </a:solidFill>
              <a:effectLst/>
              <a:ea typeface="Times New Roman"/>
            </a:rPr>
            <a:t>were asked </a:t>
          </a:r>
          <a:r>
            <a:rPr lang="en-US" sz="900" baseline="0">
              <a:solidFill>
                <a:schemeClr val="tx1"/>
              </a:solidFill>
              <a:effectLst/>
              <a:ea typeface="Times New Roman"/>
            </a:rPr>
            <a:t>if their casual, steady, or serious dating or intimate partner had done any of the following: </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Slapped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Pushed or shoved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Hit you with a fist or something hard </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Kicked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Hurt you by pulling your hair </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Slammed you against something</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Tried to hurt you by choking of suffocating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Beaten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Burned you on purpose</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Used a knife, gun, or other weapon on you</a:t>
          </a:r>
        </a:p>
      </xdr:txBody>
    </xdr:sp>
    <xdr:clientData/>
  </xdr:twoCellAnchor>
  <xdr:twoCellAnchor>
    <xdr:from>
      <xdr:col>2</xdr:col>
      <xdr:colOff>2492783</xdr:colOff>
      <xdr:row>2</xdr:row>
      <xdr:rowOff>185814</xdr:rowOff>
    </xdr:from>
    <xdr:to>
      <xdr:col>7</xdr:col>
      <xdr:colOff>186730</xdr:colOff>
      <xdr:row>19</xdr:row>
      <xdr:rowOff>20052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80211</xdr:colOff>
      <xdr:row>0</xdr:row>
      <xdr:rowOff>140368</xdr:rowOff>
    </xdr:from>
    <xdr:to>
      <xdr:col>0</xdr:col>
      <xdr:colOff>1510075</xdr:colOff>
      <xdr:row>0</xdr:row>
      <xdr:rowOff>689008</xdr:rowOff>
    </xdr:to>
    <xdr:pic>
      <xdr:nvPicPr>
        <xdr:cNvPr id="17"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211" y="140368"/>
          <a:ext cx="1429864" cy="548640"/>
        </a:xfrm>
        <a:prstGeom prst="rect">
          <a:avLst/>
        </a:prstGeom>
      </xdr:spPr>
    </xdr:pic>
    <xdr:clientData/>
  </xdr:twoCellAnchor>
  <xdr:twoCellAnchor>
    <xdr:from>
      <xdr:col>9</xdr:col>
      <xdr:colOff>633663</xdr:colOff>
      <xdr:row>24</xdr:row>
      <xdr:rowOff>325105</xdr:rowOff>
    </xdr:from>
    <xdr:to>
      <xdr:col>10</xdr:col>
      <xdr:colOff>1091571</xdr:colOff>
      <xdr:row>27</xdr:row>
      <xdr:rowOff>18395</xdr:rowOff>
    </xdr:to>
    <xdr:pic>
      <xdr:nvPicPr>
        <xdr:cNvPr id="18" name="Picture 17">
          <a:hlinkClick xmlns:r="http://schemas.openxmlformats.org/officeDocument/2006/relationships" r:id="rId3"/>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93663" y="6167105"/>
          <a:ext cx="1209325" cy="360040"/>
        </a:xfrm>
        <a:prstGeom prst="rect">
          <a:avLst/>
        </a:prstGeom>
        <a:noFill/>
        <a:ln>
          <a:noFill/>
        </a:ln>
      </xdr:spPr>
    </xdr:pic>
    <xdr:clientData/>
  </xdr:twoCellAnchor>
  <xdr:twoCellAnchor>
    <xdr:from>
      <xdr:col>10</xdr:col>
      <xdr:colOff>1235171</xdr:colOff>
      <xdr:row>24</xdr:row>
      <xdr:rowOff>325105</xdr:rowOff>
    </xdr:from>
    <xdr:to>
      <xdr:col>11</xdr:col>
      <xdr:colOff>49835</xdr:colOff>
      <xdr:row>27</xdr:row>
      <xdr:rowOff>18395</xdr:rowOff>
    </xdr:to>
    <xdr:pic>
      <xdr:nvPicPr>
        <xdr:cNvPr id="19" name="Picture 18">
          <a:hlinkClick xmlns:r="http://schemas.openxmlformats.org/officeDocument/2006/relationships" r:id="rId5"/>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46588" y="6167105"/>
          <a:ext cx="1291164" cy="360040"/>
        </a:xfrm>
        <a:prstGeom prst="rect">
          <a:avLst/>
        </a:prstGeom>
        <a:noFill/>
        <a:ln>
          <a:noFill/>
        </a:ln>
      </xdr:spPr>
    </xdr:pic>
    <xdr:clientData/>
  </xdr:twoCellAnchor>
  <xdr:twoCellAnchor editAs="oneCell">
    <xdr:from>
      <xdr:col>1</xdr:col>
      <xdr:colOff>270711</xdr:colOff>
      <xdr:row>18</xdr:row>
      <xdr:rowOff>80209</xdr:rowOff>
    </xdr:from>
    <xdr:to>
      <xdr:col>2</xdr:col>
      <xdr:colOff>351924</xdr:colOff>
      <xdr:row>20</xdr:row>
      <xdr:rowOff>105074</xdr:rowOff>
    </xdr:to>
    <xdr:pic>
      <xdr:nvPicPr>
        <xdr:cNvPr id="57" name="Picture 56" descr="L:\Public\Share\ABC Templates and Resources\EAB Templates and Resources\EAB Art Icons Logos\EAB Icons\Emergency_Department_2.pn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25316" y="4311314"/>
          <a:ext cx="361950" cy="365760"/>
        </a:xfrm>
        <a:prstGeom prst="rect">
          <a:avLst/>
        </a:prstGeom>
        <a:noFill/>
        <a:ln>
          <a:noFill/>
        </a:ln>
      </xdr:spPr>
    </xdr:pic>
    <xdr:clientData/>
  </xdr:twoCellAnchor>
  <xdr:twoCellAnchor>
    <xdr:from>
      <xdr:col>10</xdr:col>
      <xdr:colOff>458113</xdr:colOff>
      <xdr:row>2</xdr:row>
      <xdr:rowOff>175788</xdr:rowOff>
    </xdr:from>
    <xdr:to>
      <xdr:col>10</xdr:col>
      <xdr:colOff>716585</xdr:colOff>
      <xdr:row>3</xdr:row>
      <xdr:rowOff>172556</xdr:rowOff>
    </xdr:to>
    <xdr:grpSp>
      <xdr:nvGrpSpPr>
        <xdr:cNvPr id="37" name="Group 36"/>
        <xdr:cNvGrpSpPr/>
      </xdr:nvGrpSpPr>
      <xdr:grpSpPr bwMode="gray">
        <a:xfrm>
          <a:off x="11369530" y="1223538"/>
          <a:ext cx="258472" cy="187268"/>
          <a:chOff x="3003586" y="2661522"/>
          <a:chExt cx="271672" cy="181522"/>
        </a:xfrm>
      </xdr:grpSpPr>
      <xdr:sp macro="" textlink="">
        <xdr:nvSpPr>
          <xdr:cNvPr id="38" name="Rectangle 37"/>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9" name="Round Same Side Corner Rectangle 38"/>
          <xdr:cNvSpPr/>
        </xdr:nvSpPr>
        <xdr:spPr bwMode="gray">
          <a:xfrm rot="10800000">
            <a:off x="3003586" y="2661522"/>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40" name="Freeform 39"/>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xdr:from>
      <xdr:col>0</xdr:col>
      <xdr:colOff>0</xdr:colOff>
      <xdr:row>2</xdr:row>
      <xdr:rowOff>0</xdr:rowOff>
    </xdr:from>
    <xdr:to>
      <xdr:col>1</xdr:col>
      <xdr:colOff>28567</xdr:colOff>
      <xdr:row>26</xdr:row>
      <xdr:rowOff>74342</xdr:rowOff>
    </xdr:to>
    <xdr:grpSp>
      <xdr:nvGrpSpPr>
        <xdr:cNvPr id="41" name="Group 40"/>
        <xdr:cNvGrpSpPr/>
      </xdr:nvGrpSpPr>
      <xdr:grpSpPr>
        <a:xfrm>
          <a:off x="0" y="1047750"/>
          <a:ext cx="1785400" cy="5387175"/>
          <a:chOff x="0" y="1052763"/>
          <a:chExt cx="1784684" cy="5387175"/>
        </a:xfrm>
      </xdr:grpSpPr>
      <xdr:sp macro="" textlink="">
        <xdr:nvSpPr>
          <xdr:cNvPr id="42" name="TextBox 41"/>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43" name="TextBox 42">
            <a:hlinkClick xmlns:r="http://schemas.openxmlformats.org/officeDocument/2006/relationships" r:id="rId8"/>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44" name="TextBox 43">
            <a:hlinkClick xmlns:r="http://schemas.openxmlformats.org/officeDocument/2006/relationships" r:id="rId9"/>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45" name="TextBox 44">
            <a:hlinkClick xmlns:r="http://schemas.openxmlformats.org/officeDocument/2006/relationships" r:id="rId10"/>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46" name="TextBox 45">
            <a:hlinkClick xmlns:r="http://schemas.openxmlformats.org/officeDocument/2006/relationships" r:id="rId11"/>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47" name="TextBox 46">
            <a:hlinkClick xmlns:r="http://schemas.openxmlformats.org/officeDocument/2006/relationships" r:id="rId12"/>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48" name="TextBox 47">
            <a:hlinkClick xmlns:r="http://schemas.openxmlformats.org/officeDocument/2006/relationships" r:id="rId13"/>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49" name="TextBox 48">
            <a:hlinkClick xmlns:r="http://schemas.openxmlformats.org/officeDocument/2006/relationships" r:id="rId14"/>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50" name="TextBox 49">
            <a:hlinkClick xmlns:r="http://schemas.openxmlformats.org/officeDocument/2006/relationships" r:id="rId15"/>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51" name="TextBox 50">
            <a:hlinkClick xmlns:r="http://schemas.openxmlformats.org/officeDocument/2006/relationships" r:id="rId16"/>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52" name="TextBox 51">
            <a:hlinkClick xmlns:r="http://schemas.openxmlformats.org/officeDocument/2006/relationships" r:id="rId17"/>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53" name="TextBox 52">
            <a:hlinkClick xmlns:r="http://schemas.openxmlformats.org/officeDocument/2006/relationships" r:id="rId3"/>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54" name="TextBox 53">
            <a:hlinkClick xmlns:r="http://schemas.openxmlformats.org/officeDocument/2006/relationships" r:id="rId18"/>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55" name="TextBox 54">
            <a:hlinkClick xmlns:r="http://schemas.openxmlformats.org/officeDocument/2006/relationships" r:id="rId5"/>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4405</xdr:colOff>
      <xdr:row>3</xdr:row>
      <xdr:rowOff>10863</xdr:rowOff>
    </xdr:from>
    <xdr:to>
      <xdr:col>5</xdr:col>
      <xdr:colOff>115233</xdr:colOff>
      <xdr:row>10</xdr:row>
      <xdr:rowOff>1</xdr:rowOff>
    </xdr:to>
    <xdr:sp macro="" textlink="">
      <xdr:nvSpPr>
        <xdr:cNvPr id="3" name="Line Callout 2 (No Border) 86"/>
        <xdr:cNvSpPr/>
      </xdr:nvSpPr>
      <xdr:spPr bwMode="gray">
        <a:xfrm>
          <a:off x="2036405" y="1249113"/>
          <a:ext cx="3984328" cy="1396721"/>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a:t>
          </a:r>
          <a:endParaRPr lang="en-US" sz="1200" b="0" kern="0">
            <a:solidFill>
              <a:schemeClr val="tx1"/>
            </a:solidFill>
            <a:effectLst/>
            <a:latin typeface="Times New Roman"/>
            <a:ea typeface="Times New Roman"/>
            <a:cs typeface="+mn-cs"/>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Respondents view themselves as </a:t>
          </a:r>
          <a:r>
            <a:rPr lang="en-US" sz="900" baseline="0">
              <a:solidFill>
                <a:srgbClr val="FF0000"/>
              </a:solidFill>
              <a:effectLst/>
              <a:ea typeface="Times New Roman"/>
            </a:rPr>
            <a:t>more likely </a:t>
          </a:r>
          <a:r>
            <a:rPr lang="en-US" sz="900" baseline="0">
              <a:solidFill>
                <a:schemeClr val="tx1"/>
              </a:solidFill>
              <a:effectLst/>
              <a:ea typeface="Times New Roman"/>
            </a:rPr>
            <a:t>than their peers to engage in bystander behaviors. </a:t>
          </a:r>
        </a:p>
        <a:p>
          <a:pPr marL="128016" marR="0" lvl="0" indent="-128016">
            <a:spcBef>
              <a:spcPts val="500"/>
            </a:spcBef>
            <a:spcAft>
              <a:spcPts val="0"/>
            </a:spcAft>
            <a:buSzPts val="800"/>
            <a:buFont typeface="Verdana"/>
            <a:buChar char="•"/>
          </a:pPr>
          <a:r>
            <a:rPr lang="en-US" sz="900" baseline="0">
              <a:solidFill>
                <a:srgbClr val="FF0000"/>
              </a:solidFill>
              <a:effectLst/>
              <a:ea typeface="Times New Roman"/>
            </a:rPr>
            <a:t>Eight percent </a:t>
          </a:r>
          <a:r>
            <a:rPr lang="en-US" sz="900" baseline="0">
              <a:solidFill>
                <a:schemeClr val="tx1"/>
              </a:solidFill>
              <a:effectLst/>
              <a:ea typeface="Times New Roman"/>
            </a:rPr>
            <a:t>of respondents said they observed a situation that could have led to a sexual assault.</a:t>
          </a:r>
        </a:p>
      </xdr:txBody>
    </xdr:sp>
    <xdr:clientData/>
  </xdr:twoCellAnchor>
  <xdr:twoCellAnchor>
    <xdr:from>
      <xdr:col>6</xdr:col>
      <xdr:colOff>431132</xdr:colOff>
      <xdr:row>3</xdr:row>
      <xdr:rowOff>10861</xdr:rowOff>
    </xdr:from>
    <xdr:to>
      <xdr:col>12</xdr:col>
      <xdr:colOff>0</xdr:colOff>
      <xdr:row>24</xdr:row>
      <xdr:rowOff>100263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26</xdr:row>
      <xdr:rowOff>40943</xdr:rowOff>
    </xdr:from>
    <xdr:to>
      <xdr:col>12</xdr:col>
      <xdr:colOff>0</xdr:colOff>
      <xdr:row>27</xdr:row>
      <xdr:rowOff>73681</xdr:rowOff>
    </xdr:to>
    <xdr:grpSp>
      <xdr:nvGrpSpPr>
        <xdr:cNvPr id="6" name="Group 5"/>
        <xdr:cNvGrpSpPr/>
      </xdr:nvGrpSpPr>
      <xdr:grpSpPr bwMode="gray">
        <a:xfrm>
          <a:off x="13906500" y="6634360"/>
          <a:ext cx="0" cy="508988"/>
          <a:chOff x="1647125" y="2003891"/>
          <a:chExt cx="271672" cy="181522"/>
        </a:xfrm>
      </xdr:grpSpPr>
      <xdr:sp macro="" textlink="">
        <xdr:nvSpPr>
          <xdr:cNvPr id="7" name="Rectangle 6"/>
          <xdr:cNvSpPr/>
        </xdr:nvSpPr>
        <xdr:spPr bwMode="gray">
          <a:xfrm>
            <a:off x="1647125"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8" name="Round Same Side Corner Rectangle 7"/>
          <xdr:cNvSpPr/>
        </xdr:nvSpPr>
        <xdr:spPr bwMode="gray">
          <a:xfrm rot="10800000">
            <a:off x="1647125"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9" name="L-Shape 8"/>
          <xdr:cNvSpPr/>
        </xdr:nvSpPr>
        <xdr:spPr bwMode="gray">
          <a:xfrm rot="18900000">
            <a:off x="1682289" y="2046109"/>
            <a:ext cx="143443" cy="73274"/>
          </a:xfrm>
          <a:prstGeom prst="corner">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r>
              <a:rPr lang="en-US" sz="1000">
                <a:solidFill>
                  <a:schemeClr val="bg2"/>
                </a:solidFill>
              </a:rPr>
              <a:t> </a:t>
            </a:r>
          </a:p>
        </xdr:txBody>
      </xdr:sp>
    </xdr:grpSp>
    <xdr:clientData/>
  </xdr:twoCellAnchor>
  <xdr:twoCellAnchor>
    <xdr:from>
      <xdr:col>2</xdr:col>
      <xdr:colOff>16311</xdr:colOff>
      <xdr:row>21</xdr:row>
      <xdr:rowOff>6</xdr:rowOff>
    </xdr:from>
    <xdr:to>
      <xdr:col>2</xdr:col>
      <xdr:colOff>306379</xdr:colOff>
      <xdr:row>23</xdr:row>
      <xdr:rowOff>85236</xdr:rowOff>
    </xdr:to>
    <xdr:pic>
      <xdr:nvPicPr>
        <xdr:cNvPr id="10" name="Picture 9" descr="L:\Public\Share\ABC Templates and Resources\EAB Templates and Resources\EAB Art Icons Logos\EAB Icons\Person_Casual.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0374" y="5167319"/>
          <a:ext cx="290068" cy="370980"/>
        </a:xfrm>
        <a:prstGeom prst="rect">
          <a:avLst/>
        </a:prstGeom>
        <a:noFill/>
        <a:ln>
          <a:noFill/>
        </a:ln>
      </xdr:spPr>
    </xdr:pic>
    <xdr:clientData/>
  </xdr:twoCellAnchor>
  <xdr:twoCellAnchor editAs="oneCell">
    <xdr:from>
      <xdr:col>0</xdr:col>
      <xdr:colOff>110291</xdr:colOff>
      <xdr:row>0</xdr:row>
      <xdr:rowOff>130343</xdr:rowOff>
    </xdr:from>
    <xdr:to>
      <xdr:col>0</xdr:col>
      <xdr:colOff>1540155</xdr:colOff>
      <xdr:row>0</xdr:row>
      <xdr:rowOff>678983</xdr:rowOff>
    </xdr:to>
    <xdr:pic>
      <xdr:nvPicPr>
        <xdr:cNvPr id="11" name="Picture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0291" y="130343"/>
          <a:ext cx="1429864" cy="548640"/>
        </a:xfrm>
        <a:prstGeom prst="rect">
          <a:avLst/>
        </a:prstGeom>
      </xdr:spPr>
    </xdr:pic>
    <xdr:clientData/>
  </xdr:twoCellAnchor>
  <xdr:twoCellAnchor editAs="absolute">
    <xdr:from>
      <xdr:col>2</xdr:col>
      <xdr:colOff>4405</xdr:colOff>
      <xdr:row>13</xdr:row>
      <xdr:rowOff>13182</xdr:rowOff>
    </xdr:from>
    <xdr:to>
      <xdr:col>3</xdr:col>
      <xdr:colOff>1027647</xdr:colOff>
      <xdr:row>20</xdr:row>
      <xdr:rowOff>125954</xdr:rowOff>
    </xdr:to>
    <xdr:sp macro="" textlink="">
      <xdr:nvSpPr>
        <xdr:cNvPr id="33" name="Line Callout 2 (No Border) 86"/>
        <xdr:cNvSpPr/>
      </xdr:nvSpPr>
      <xdr:spPr bwMode="gray">
        <a:xfrm>
          <a:off x="2028468" y="3335026"/>
          <a:ext cx="2166242" cy="1815366"/>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Bystander Behavior </a:t>
          </a:r>
          <a:endParaRPr lang="en-US" sz="1200" b="0" kern="0">
            <a:solidFill>
              <a:schemeClr val="tx1"/>
            </a:solidFill>
            <a:effectLst/>
            <a:latin typeface="Times New Roman"/>
            <a:ea typeface="Times New Roman"/>
            <a:cs typeface="+mn-cs"/>
          </a:endParaRPr>
        </a:p>
        <a:p>
          <a:pPr marL="0" marR="0">
            <a:spcAft>
              <a:spcPts val="1000"/>
            </a:spcAft>
          </a:pPr>
          <a:endParaRPr lang="en-US" sz="900">
            <a:solidFill>
              <a:schemeClr val="tx1"/>
            </a:solidFill>
            <a:effectLst/>
            <a:ea typeface="Times New Roman"/>
          </a:endParaRPr>
        </a:p>
        <a:p>
          <a:pPr marL="0" marR="0">
            <a:spcAft>
              <a:spcPts val="1000"/>
            </a:spcAft>
          </a:pPr>
          <a:endParaRPr lang="en-US" sz="900">
            <a:solidFill>
              <a:schemeClr val="tx1"/>
            </a:solidFill>
            <a:effectLst/>
            <a:ea typeface="Times New Roman"/>
          </a:endParaRPr>
        </a:p>
        <a:p>
          <a:pPr marL="0" marR="0">
            <a:spcAft>
              <a:spcPts val="1000"/>
            </a:spcAft>
          </a:pPr>
          <a:r>
            <a:rPr lang="en-US" sz="900">
              <a:solidFill>
                <a:schemeClr val="tx1"/>
              </a:solidFill>
              <a:effectLst/>
              <a:ea typeface="Times New Roman"/>
            </a:rPr>
            <a:t>Percent of respondents who observed a situation that </a:t>
          </a:r>
          <a:br>
            <a:rPr lang="en-US" sz="900">
              <a:solidFill>
                <a:schemeClr val="tx1"/>
              </a:solidFill>
              <a:effectLst/>
              <a:ea typeface="Times New Roman"/>
            </a:rPr>
          </a:br>
          <a:r>
            <a:rPr lang="en-US" sz="900">
              <a:solidFill>
                <a:schemeClr val="tx1"/>
              </a:solidFill>
              <a:effectLst/>
              <a:ea typeface="Times New Roman"/>
            </a:rPr>
            <a:t>they believed was, or could have led to, a sexual assault.</a:t>
          </a:r>
          <a:r>
            <a:rPr lang="en-US" sz="900" baseline="0">
              <a:solidFill>
                <a:schemeClr val="tx1"/>
              </a:solidFill>
              <a:effectLst/>
              <a:ea typeface="Times New Roman"/>
            </a:rPr>
            <a:t> </a:t>
          </a:r>
          <a:endParaRPr lang="en-US" sz="900">
            <a:solidFill>
              <a:srgbClr val="FF0000"/>
            </a:solidFill>
            <a:effectLst/>
            <a:ea typeface="Times New Roman"/>
          </a:endParaRPr>
        </a:p>
      </xdr:txBody>
    </xdr:sp>
    <xdr:clientData/>
  </xdr:twoCellAnchor>
  <xdr:twoCellAnchor>
    <xdr:from>
      <xdr:col>2</xdr:col>
      <xdr:colOff>739693</xdr:colOff>
      <xdr:row>15</xdr:row>
      <xdr:rowOff>18924</xdr:rowOff>
    </xdr:from>
    <xdr:to>
      <xdr:col>3</xdr:col>
      <xdr:colOff>1012031</xdr:colOff>
      <xdr:row>17</xdr:row>
      <xdr:rowOff>66131</xdr:rowOff>
    </xdr:to>
    <xdr:sp macro="" textlink="O33">
      <xdr:nvSpPr>
        <xdr:cNvPr id="34" name="TextBox 40"/>
        <xdr:cNvSpPr txBox="1"/>
      </xdr:nvSpPr>
      <xdr:spPr bwMode="gray">
        <a:xfrm>
          <a:off x="2763756" y="3793205"/>
          <a:ext cx="1415338" cy="404395"/>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10C47FDD-9AF6-43DA-BABF-D445AA3C3EC9}" type="TxLink">
            <a:rPr lang="en-US" sz="2500" b="0" i="0" u="none" strike="noStrike">
              <a:solidFill>
                <a:schemeClr val="accent6"/>
              </a:solidFill>
              <a:latin typeface="+mj-lt"/>
              <a:ea typeface="Verdana"/>
              <a:cs typeface="Verdana"/>
            </a:rPr>
            <a:pPr/>
            <a:t>#REF!</a:t>
          </a:fld>
          <a:endParaRPr lang="en-US" sz="2500">
            <a:solidFill>
              <a:schemeClr val="accent6"/>
            </a:solidFill>
            <a:latin typeface="+mj-lt"/>
          </a:endParaRPr>
        </a:p>
      </xdr:txBody>
    </xdr:sp>
    <xdr:clientData/>
  </xdr:twoCellAnchor>
  <xdr:twoCellAnchor>
    <xdr:from>
      <xdr:col>3</xdr:col>
      <xdr:colOff>788846</xdr:colOff>
      <xdr:row>13</xdr:row>
      <xdr:rowOff>13182</xdr:rowOff>
    </xdr:from>
    <xdr:to>
      <xdr:col>3</xdr:col>
      <xdr:colOff>1027647</xdr:colOff>
      <xdr:row>13</xdr:row>
      <xdr:rowOff>186314</xdr:rowOff>
    </xdr:to>
    <xdr:grpSp>
      <xdr:nvGrpSpPr>
        <xdr:cNvPr id="35" name="Group 34"/>
        <xdr:cNvGrpSpPr/>
      </xdr:nvGrpSpPr>
      <xdr:grpSpPr bwMode="gray">
        <a:xfrm>
          <a:off x="3963846" y="3315182"/>
          <a:ext cx="238801" cy="173132"/>
          <a:chOff x="4411101" y="2003891"/>
          <a:chExt cx="271672" cy="181522"/>
        </a:xfrm>
      </xdr:grpSpPr>
      <xdr:sp macro="" textlink="">
        <xdr:nvSpPr>
          <xdr:cNvPr id="36" name="Rectangle 35"/>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lt1"/>
                </a:solidFill>
                <a:latin typeface="+mn-lt"/>
                <a:ea typeface="+mn-ea"/>
                <a:cs typeface="+mn-cs"/>
              </a:defRPr>
            </a:lvl1pPr>
            <a:lvl2pPr marL="320040" algn="l" defTabSz="640080" rtl="0" eaLnBrk="1" latinLnBrk="0" hangingPunct="1">
              <a:defRPr sz="1300" kern="1200">
                <a:solidFill>
                  <a:schemeClr val="lt1"/>
                </a:solidFill>
                <a:latin typeface="+mn-lt"/>
                <a:ea typeface="+mn-ea"/>
                <a:cs typeface="+mn-cs"/>
              </a:defRPr>
            </a:lvl2pPr>
            <a:lvl3pPr marL="640080" algn="l" defTabSz="640080" rtl="0" eaLnBrk="1" latinLnBrk="0" hangingPunct="1">
              <a:defRPr sz="1300" kern="1200">
                <a:solidFill>
                  <a:schemeClr val="lt1"/>
                </a:solidFill>
                <a:latin typeface="+mn-lt"/>
                <a:ea typeface="+mn-ea"/>
                <a:cs typeface="+mn-cs"/>
              </a:defRPr>
            </a:lvl3pPr>
            <a:lvl4pPr marL="960120" algn="l" defTabSz="640080" rtl="0" eaLnBrk="1" latinLnBrk="0" hangingPunct="1">
              <a:defRPr sz="1300" kern="1200">
                <a:solidFill>
                  <a:schemeClr val="lt1"/>
                </a:solidFill>
                <a:latin typeface="+mn-lt"/>
                <a:ea typeface="+mn-ea"/>
                <a:cs typeface="+mn-cs"/>
              </a:defRPr>
            </a:lvl4pPr>
            <a:lvl5pPr marL="1280160" algn="l" defTabSz="640080" rtl="0" eaLnBrk="1" latinLnBrk="0" hangingPunct="1">
              <a:defRPr sz="1300" kern="1200">
                <a:solidFill>
                  <a:schemeClr val="lt1"/>
                </a:solidFill>
                <a:latin typeface="+mn-lt"/>
                <a:ea typeface="+mn-ea"/>
                <a:cs typeface="+mn-cs"/>
              </a:defRPr>
            </a:lvl5pPr>
            <a:lvl6pPr marL="1600200" algn="l" defTabSz="640080" rtl="0" eaLnBrk="1" latinLnBrk="0" hangingPunct="1">
              <a:defRPr sz="1300" kern="1200">
                <a:solidFill>
                  <a:schemeClr val="lt1"/>
                </a:solidFill>
                <a:latin typeface="+mn-lt"/>
                <a:ea typeface="+mn-ea"/>
                <a:cs typeface="+mn-cs"/>
              </a:defRPr>
            </a:lvl6pPr>
            <a:lvl7pPr marL="1920240" algn="l" defTabSz="640080" rtl="0" eaLnBrk="1" latinLnBrk="0" hangingPunct="1">
              <a:defRPr sz="1300" kern="1200">
                <a:solidFill>
                  <a:schemeClr val="lt1"/>
                </a:solidFill>
                <a:latin typeface="+mn-lt"/>
                <a:ea typeface="+mn-ea"/>
                <a:cs typeface="+mn-cs"/>
              </a:defRPr>
            </a:lvl7pPr>
            <a:lvl8pPr marL="2240280" algn="l" defTabSz="640080" rtl="0" eaLnBrk="1" latinLnBrk="0" hangingPunct="1">
              <a:defRPr sz="1300" kern="1200">
                <a:solidFill>
                  <a:schemeClr val="lt1"/>
                </a:solidFill>
                <a:latin typeface="+mn-lt"/>
                <a:ea typeface="+mn-ea"/>
                <a:cs typeface="+mn-cs"/>
              </a:defRPr>
            </a:lvl8pPr>
            <a:lvl9pPr marL="2560320" algn="l" defTabSz="640080" rtl="0" eaLnBrk="1" latinLnBrk="0" hangingPunct="1">
              <a:defRPr sz="13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7" name="Round Same Side Corner Rectangle 36"/>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endParaRPr lang="en-US" sz="1000"/>
          </a:p>
        </xdr:txBody>
      </xdr:sp>
      <xdr:sp macro="" textlink="">
        <xdr:nvSpPr>
          <xdr:cNvPr id="38" name="Freeform 37"/>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defTabSz="1463675"/>
            <a:endParaRPr lang="en-US" sz="1000">
              <a:solidFill>
                <a:schemeClr val="bg2"/>
              </a:solidFill>
            </a:endParaRPr>
          </a:p>
        </xdr:txBody>
      </xdr:sp>
    </xdr:grpSp>
    <xdr:clientData/>
  </xdr:twoCellAnchor>
  <xdr:twoCellAnchor>
    <xdr:from>
      <xdr:col>11</xdr:col>
      <xdr:colOff>2631</xdr:colOff>
      <xdr:row>29</xdr:row>
      <xdr:rowOff>231002</xdr:rowOff>
    </xdr:from>
    <xdr:to>
      <xdr:col>11</xdr:col>
      <xdr:colOff>1229556</xdr:colOff>
      <xdr:row>30</xdr:row>
      <xdr:rowOff>294706</xdr:rowOff>
    </xdr:to>
    <xdr:pic>
      <xdr:nvPicPr>
        <xdr:cNvPr id="46" name="Picture 45">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630060" y="7973466"/>
          <a:ext cx="1226925" cy="349454"/>
        </a:xfrm>
        <a:prstGeom prst="rect">
          <a:avLst/>
        </a:prstGeom>
        <a:noFill/>
        <a:ln>
          <a:noFill/>
        </a:ln>
      </xdr:spPr>
    </xdr:pic>
    <xdr:clientData/>
  </xdr:twoCellAnchor>
  <xdr:twoCellAnchor>
    <xdr:from>
      <xdr:col>11</xdr:col>
      <xdr:colOff>1373157</xdr:colOff>
      <xdr:row>29</xdr:row>
      <xdr:rowOff>231002</xdr:rowOff>
    </xdr:from>
    <xdr:to>
      <xdr:col>12</xdr:col>
      <xdr:colOff>82545</xdr:colOff>
      <xdr:row>30</xdr:row>
      <xdr:rowOff>294706</xdr:rowOff>
    </xdr:to>
    <xdr:pic>
      <xdr:nvPicPr>
        <xdr:cNvPr id="47" name="Picture 46">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000586" y="7973466"/>
          <a:ext cx="1281138" cy="349454"/>
        </a:xfrm>
        <a:prstGeom prst="rect">
          <a:avLst/>
        </a:prstGeom>
        <a:noFill/>
        <a:ln>
          <a:noFill/>
        </a:ln>
      </xdr:spPr>
    </xdr:pic>
    <xdr:clientData/>
  </xdr:twoCellAnchor>
  <xdr:twoCellAnchor>
    <xdr:from>
      <xdr:col>2</xdr:col>
      <xdr:colOff>165812</xdr:colOff>
      <xdr:row>19</xdr:row>
      <xdr:rowOff>64167</xdr:rowOff>
    </xdr:from>
    <xdr:to>
      <xdr:col>3</xdr:col>
      <xdr:colOff>438150</xdr:colOff>
      <xdr:row>21</xdr:row>
      <xdr:rowOff>87562</xdr:rowOff>
    </xdr:to>
    <xdr:sp macro="" textlink="P38">
      <xdr:nvSpPr>
        <xdr:cNvPr id="25" name="TextBox 40"/>
        <xdr:cNvSpPr txBox="1"/>
      </xdr:nvSpPr>
      <xdr:spPr bwMode="gray">
        <a:xfrm>
          <a:off x="2189875" y="4945730"/>
          <a:ext cx="1415338" cy="404395"/>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BD32B1FB-F7EB-4CF7-9BFA-4C9850D521D6}" type="TxLink">
            <a:rPr lang="en-US" sz="900" b="0" i="0" u="none" strike="noStrike">
              <a:solidFill>
                <a:schemeClr val="tx1"/>
              </a:solidFill>
              <a:latin typeface="+mn-lt"/>
              <a:ea typeface="Verdana"/>
              <a:cs typeface="Arial"/>
            </a:rPr>
            <a:pPr/>
            <a:t>#REF!</a:t>
          </a:fld>
          <a:endParaRPr lang="en-US" sz="1800">
            <a:solidFill>
              <a:schemeClr val="tx1"/>
            </a:solidFill>
            <a:latin typeface="+mn-lt"/>
          </a:endParaRPr>
        </a:p>
      </xdr:txBody>
    </xdr:sp>
    <xdr:clientData/>
  </xdr:twoCellAnchor>
  <xdr:twoCellAnchor>
    <xdr:from>
      <xdr:col>0</xdr:col>
      <xdr:colOff>0</xdr:colOff>
      <xdr:row>2</xdr:row>
      <xdr:rowOff>0</xdr:rowOff>
    </xdr:from>
    <xdr:to>
      <xdr:col>1</xdr:col>
      <xdr:colOff>28567</xdr:colOff>
      <xdr:row>25</xdr:row>
      <xdr:rowOff>317758</xdr:rowOff>
    </xdr:to>
    <xdr:grpSp>
      <xdr:nvGrpSpPr>
        <xdr:cNvPr id="57" name="Group 56"/>
        <xdr:cNvGrpSpPr/>
      </xdr:nvGrpSpPr>
      <xdr:grpSpPr>
        <a:xfrm>
          <a:off x="0" y="1047750"/>
          <a:ext cx="1785400" cy="5387175"/>
          <a:chOff x="0" y="1052763"/>
          <a:chExt cx="1784684" cy="5387175"/>
        </a:xfrm>
      </xdr:grpSpPr>
      <xdr:sp macro="" textlink="">
        <xdr:nvSpPr>
          <xdr:cNvPr id="58" name="TextBox 57"/>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59" name="TextBox 58">
            <a:hlinkClick xmlns:r="http://schemas.openxmlformats.org/officeDocument/2006/relationships" r:id="rId8"/>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60" name="TextBox 59">
            <a:hlinkClick xmlns:r="http://schemas.openxmlformats.org/officeDocument/2006/relationships" r:id="rId9"/>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61" name="TextBox 60">
            <a:hlinkClick xmlns:r="http://schemas.openxmlformats.org/officeDocument/2006/relationships" r:id="rId10"/>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62" name="TextBox 61">
            <a:hlinkClick xmlns:r="http://schemas.openxmlformats.org/officeDocument/2006/relationships" r:id="rId11"/>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63" name="TextBox 62">
            <a:hlinkClick xmlns:r="http://schemas.openxmlformats.org/officeDocument/2006/relationships" r:id="rId12"/>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64" name="TextBox 63">
            <a:hlinkClick xmlns:r="http://schemas.openxmlformats.org/officeDocument/2006/relationships" r:id="rId13"/>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65" name="TextBox 64">
            <a:hlinkClick xmlns:r="http://schemas.openxmlformats.org/officeDocument/2006/relationships" r:id="rId14"/>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66" name="TextBox 65">
            <a:hlinkClick xmlns:r="http://schemas.openxmlformats.org/officeDocument/2006/relationships" r:id="rId15"/>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67" name="TextBox 66">
            <a:hlinkClick xmlns:r="http://schemas.openxmlformats.org/officeDocument/2006/relationships" r:id="rId16"/>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68" name="TextBox 67">
            <a:hlinkClick xmlns:r="http://schemas.openxmlformats.org/officeDocument/2006/relationships" r:id="rId6"/>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69" name="TextBox 68">
            <a:hlinkClick xmlns:r="http://schemas.openxmlformats.org/officeDocument/2006/relationships" r:id="rId17"/>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70" name="TextBox 69">
            <a:hlinkClick xmlns:r="http://schemas.openxmlformats.org/officeDocument/2006/relationships" r:id="rId4"/>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71" name="TextBox 70">
            <a:hlinkClick xmlns:r="http://schemas.openxmlformats.org/officeDocument/2006/relationships" r:id="rId18"/>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twoCellAnchor>
    <xdr:from>
      <xdr:col>4</xdr:col>
      <xdr:colOff>494906</xdr:colOff>
      <xdr:row>3</xdr:row>
      <xdr:rowOff>10863</xdr:rowOff>
    </xdr:from>
    <xdr:to>
      <xdr:col>5</xdr:col>
      <xdr:colOff>115233</xdr:colOff>
      <xdr:row>3</xdr:row>
      <xdr:rowOff>190873</xdr:rowOff>
    </xdr:to>
    <xdr:grpSp>
      <xdr:nvGrpSpPr>
        <xdr:cNvPr id="48" name="Group 47"/>
        <xdr:cNvGrpSpPr/>
      </xdr:nvGrpSpPr>
      <xdr:grpSpPr bwMode="gray">
        <a:xfrm>
          <a:off x="5744239" y="1249113"/>
          <a:ext cx="276494" cy="180010"/>
          <a:chOff x="5569224" y="1247744"/>
          <a:chExt cx="271672" cy="181522"/>
        </a:xfrm>
      </xdr:grpSpPr>
      <xdr:sp macro="" textlink="">
        <xdr:nvSpPr>
          <xdr:cNvPr id="49" name="Rectangle 48"/>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0" name="Round Same Side Corner Rectangle 49"/>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51" name="Group 50"/>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52" name="Freeform 51"/>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53" name="Freeform 52"/>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2</xdr:col>
      <xdr:colOff>4405</xdr:colOff>
      <xdr:row>3</xdr:row>
      <xdr:rowOff>10863</xdr:rowOff>
    </xdr:from>
    <xdr:to>
      <xdr:col>11</xdr:col>
      <xdr:colOff>2561167</xdr:colOff>
      <xdr:row>29</xdr:row>
      <xdr:rowOff>180196</xdr:rowOff>
    </xdr:to>
    <xdr:sp macro="" textlink="">
      <xdr:nvSpPr>
        <xdr:cNvPr id="54" name="TextBox 53"/>
        <xdr:cNvSpPr txBox="1"/>
      </xdr:nvSpPr>
      <xdr:spPr bwMode="gray">
        <a:xfrm>
          <a:off x="2036405" y="1249113"/>
          <a:ext cx="11859512" cy="6625166"/>
        </a:xfrm>
        <a:prstGeom prst="rect">
          <a:avLst/>
        </a:prstGeom>
        <a:solidFill>
          <a:schemeClr val="tx1"/>
        </a:solidFill>
        <a:ln>
          <a:solidFill>
            <a:schemeClr val="tx1"/>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200" b="1">
              <a:solidFill>
                <a:schemeClr val="bg1"/>
              </a:solidFill>
              <a:latin typeface="+mn-lt"/>
              <a:ea typeface="+mn-ea"/>
              <a:cs typeface="+mn-cs"/>
            </a:rPr>
            <a:t>Your institution did not administer this survey module. </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739936</xdr:colOff>
      <xdr:row>18</xdr:row>
      <xdr:rowOff>540512</xdr:rowOff>
    </xdr:from>
    <xdr:to>
      <xdr:col>2</xdr:col>
      <xdr:colOff>2940427</xdr:colOff>
      <xdr:row>21</xdr:row>
      <xdr:rowOff>360939</xdr:rowOff>
    </xdr:to>
    <xdr:sp macro="" textlink="">
      <xdr:nvSpPr>
        <xdr:cNvPr id="2" name="Line Callout 2 (No Border) 86"/>
        <xdr:cNvSpPr/>
      </xdr:nvSpPr>
      <xdr:spPr bwMode="gray">
        <a:xfrm>
          <a:off x="2768761" y="6017387"/>
          <a:ext cx="2200491" cy="1620652"/>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Notes</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These statements are adapted from the Illinois Rape</a:t>
          </a:r>
          <a:r>
            <a:rPr lang="en-US" sz="900" baseline="0">
              <a:solidFill>
                <a:schemeClr val="tx1"/>
              </a:solidFill>
              <a:effectLst/>
              <a:ea typeface="Times New Roman"/>
            </a:rPr>
            <a:t> Myth Acceptance Scale.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The statements are intentionally heteronormative.</a:t>
          </a:r>
        </a:p>
      </xdr:txBody>
    </xdr:sp>
    <xdr:clientData/>
  </xdr:twoCellAnchor>
  <xdr:twoCellAnchor editAs="absolute">
    <xdr:from>
      <xdr:col>2</xdr:col>
      <xdr:colOff>2302</xdr:colOff>
      <xdr:row>3</xdr:row>
      <xdr:rowOff>4591</xdr:rowOff>
    </xdr:from>
    <xdr:to>
      <xdr:col>2</xdr:col>
      <xdr:colOff>2692360</xdr:colOff>
      <xdr:row>16</xdr:row>
      <xdr:rowOff>530679</xdr:rowOff>
    </xdr:to>
    <xdr:sp macro="" textlink="">
      <xdr:nvSpPr>
        <xdr:cNvPr id="3" name="Line Callout 2 (No Border) 86"/>
        <xdr:cNvSpPr/>
      </xdr:nvSpPr>
      <xdr:spPr bwMode="gray">
        <a:xfrm>
          <a:off x="2031127" y="1242841"/>
          <a:ext cx="2690058" cy="3564563"/>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accent6"/>
              </a:solidFill>
              <a:effectLst/>
              <a:ea typeface="Times New Roman"/>
            </a:rPr>
            <a:t>Over one-third </a:t>
          </a:r>
          <a:r>
            <a:rPr lang="en-US" sz="900">
              <a:solidFill>
                <a:schemeClr val="tx1"/>
              </a:solidFill>
              <a:effectLst/>
              <a:ea typeface="Times New Roman"/>
            </a:rPr>
            <a:t>of respondents believe that sexual assault and rape happen because men get carried away in sexual situations. </a:t>
          </a:r>
        </a:p>
        <a:p>
          <a:pPr marL="128016" marR="0" lvl="0" indent="-128016">
            <a:spcBef>
              <a:spcPts val="500"/>
            </a:spcBef>
            <a:spcAft>
              <a:spcPts val="0"/>
            </a:spcAft>
            <a:buSzPts val="800"/>
            <a:buFont typeface="Verdana"/>
            <a:buChar char="•"/>
          </a:pPr>
          <a:r>
            <a:rPr lang="en-US" sz="900">
              <a:solidFill>
                <a:schemeClr val="accent6"/>
              </a:solidFill>
              <a:effectLst/>
              <a:ea typeface="Times New Roman"/>
            </a:rPr>
            <a:t>Over 1 in</a:t>
          </a:r>
          <a:r>
            <a:rPr lang="en-US" sz="900" baseline="0">
              <a:solidFill>
                <a:schemeClr val="accent6"/>
              </a:solidFill>
              <a:effectLst/>
              <a:ea typeface="Times New Roman"/>
            </a:rPr>
            <a:t> 4 respondents </a:t>
          </a:r>
          <a:r>
            <a:rPr lang="en-US" sz="900" baseline="0">
              <a:solidFill>
                <a:schemeClr val="tx1"/>
              </a:solidFill>
              <a:effectLst/>
              <a:ea typeface="Times New Roman"/>
            </a:rPr>
            <a:t>believe that women say they were raped because they regret a sexual encounter. </a:t>
          </a:r>
        </a:p>
        <a:p>
          <a:pPr marL="128016" marR="0" lvl="0" indent="-128016">
            <a:spcBef>
              <a:spcPts val="500"/>
            </a:spcBef>
            <a:spcAft>
              <a:spcPts val="0"/>
            </a:spcAft>
            <a:buSzPts val="800"/>
            <a:buFont typeface="Verdana"/>
            <a:buChar char="•"/>
          </a:pPr>
          <a:r>
            <a:rPr lang="en-US" sz="900" baseline="0">
              <a:solidFill>
                <a:schemeClr val="accent6"/>
              </a:solidFill>
              <a:effectLst/>
              <a:ea typeface="Times New Roman"/>
            </a:rPr>
            <a:t>Over half of respondents </a:t>
          </a:r>
          <a:r>
            <a:rPr lang="en-US" sz="900" baseline="0">
              <a:solidFill>
                <a:schemeClr val="tx1"/>
              </a:solidFill>
              <a:effectLst/>
              <a:ea typeface="Times New Roman"/>
            </a:rPr>
            <a:t>believe that rape and sexual violence can happen unintentionally, especially if alcohol is involved.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A greater percentage of males agreed/strongly agreed with most of the statements compared to females.</a:t>
          </a:r>
        </a:p>
        <a:p>
          <a:pPr marL="128016" marR="0" lvl="0" indent="-128016">
            <a:spcBef>
              <a:spcPts val="500"/>
            </a:spcBef>
            <a:spcAft>
              <a:spcPts val="0"/>
            </a:spcAft>
            <a:buSzPts val="800"/>
            <a:buFont typeface="Verdana"/>
            <a:buChar char="•"/>
          </a:pPr>
          <a:r>
            <a:rPr lang="en-US" sz="900" baseline="0">
              <a:solidFill>
                <a:schemeClr val="accent6"/>
              </a:solidFill>
              <a:effectLst/>
              <a:ea typeface="Times New Roman"/>
            </a:rPr>
            <a:t>Thirty-nine percent </a:t>
          </a:r>
          <a:r>
            <a:rPr lang="en-US" sz="900" baseline="0">
              <a:solidFill>
                <a:schemeClr val="tx1"/>
              </a:solidFill>
              <a:effectLst/>
              <a:ea typeface="Times New Roman"/>
            </a:rPr>
            <a:t>of female respondents indicated that sexual misconduct was somewhat or definitely a problem compared to </a:t>
          </a:r>
          <a:r>
            <a:rPr lang="en-US" sz="900" baseline="0">
              <a:solidFill>
                <a:schemeClr val="accent6"/>
              </a:solidFill>
              <a:effectLst/>
              <a:ea typeface="Times New Roman"/>
            </a:rPr>
            <a:t>18% </a:t>
          </a:r>
          <a:r>
            <a:rPr lang="en-US" sz="900" baseline="0">
              <a:solidFill>
                <a:schemeClr val="tx1"/>
              </a:solidFill>
              <a:effectLst/>
              <a:ea typeface="Times New Roman"/>
            </a:rPr>
            <a:t>of male respondents.</a:t>
          </a:r>
        </a:p>
        <a:p>
          <a:pPr marL="128016" marR="0" lvl="0" indent="-128016">
            <a:spcBef>
              <a:spcPts val="500"/>
            </a:spcBef>
            <a:spcAft>
              <a:spcPts val="0"/>
            </a:spcAft>
            <a:buSzPts val="800"/>
            <a:buFont typeface="Verdana"/>
            <a:buChar char="•"/>
          </a:pPr>
          <a:endParaRPr lang="en-US" sz="900" baseline="0">
            <a:solidFill>
              <a:schemeClr val="tx1"/>
            </a:solidFill>
            <a:effectLst/>
            <a:ea typeface="Times New Roman"/>
          </a:endParaRPr>
        </a:p>
      </xdr:txBody>
    </xdr:sp>
    <xdr:clientData/>
  </xdr:twoCellAnchor>
  <xdr:twoCellAnchor>
    <xdr:from>
      <xdr:col>2</xdr:col>
      <xdr:colOff>3078078</xdr:colOff>
      <xdr:row>4</xdr:row>
      <xdr:rowOff>42110</xdr:rowOff>
    </xdr:from>
    <xdr:to>
      <xdr:col>11</xdr:col>
      <xdr:colOff>2306052</xdr:colOff>
      <xdr:row>21</xdr:row>
      <xdr:rowOff>380999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85224</xdr:colOff>
      <xdr:row>0</xdr:row>
      <xdr:rowOff>145382</xdr:rowOff>
    </xdr:from>
    <xdr:to>
      <xdr:col>0</xdr:col>
      <xdr:colOff>1515088</xdr:colOff>
      <xdr:row>0</xdr:row>
      <xdr:rowOff>694022</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224" y="145382"/>
          <a:ext cx="1429864" cy="548640"/>
        </a:xfrm>
        <a:prstGeom prst="rect">
          <a:avLst/>
        </a:prstGeom>
      </xdr:spPr>
    </xdr:pic>
    <xdr:clientData/>
  </xdr:twoCellAnchor>
  <xdr:twoCellAnchor>
    <xdr:from>
      <xdr:col>2</xdr:col>
      <xdr:colOff>2668756</xdr:colOff>
      <xdr:row>18</xdr:row>
      <xdr:rowOff>540512</xdr:rowOff>
    </xdr:from>
    <xdr:to>
      <xdr:col>2</xdr:col>
      <xdr:colOff>2940427</xdr:colOff>
      <xdr:row>19</xdr:row>
      <xdr:rowOff>120455</xdr:rowOff>
    </xdr:to>
    <xdr:grpSp>
      <xdr:nvGrpSpPr>
        <xdr:cNvPr id="6" name="Group 5"/>
        <xdr:cNvGrpSpPr/>
      </xdr:nvGrpSpPr>
      <xdr:grpSpPr bwMode="gray">
        <a:xfrm>
          <a:off x="4700756" y="6043845"/>
          <a:ext cx="271671" cy="183193"/>
          <a:chOff x="1647125" y="2003891"/>
          <a:chExt cx="271672" cy="181522"/>
        </a:xfrm>
      </xdr:grpSpPr>
      <xdr:sp macro="" textlink="">
        <xdr:nvSpPr>
          <xdr:cNvPr id="7" name="Rectangle 6"/>
          <xdr:cNvSpPr/>
        </xdr:nvSpPr>
        <xdr:spPr bwMode="gray">
          <a:xfrm>
            <a:off x="1647125"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8" name="Round Same Side Corner Rectangle 7"/>
          <xdr:cNvSpPr/>
        </xdr:nvSpPr>
        <xdr:spPr bwMode="gray">
          <a:xfrm rot="10800000">
            <a:off x="1647125"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9" name="L-Shape 8"/>
          <xdr:cNvSpPr/>
        </xdr:nvSpPr>
        <xdr:spPr bwMode="gray">
          <a:xfrm rot="18900000">
            <a:off x="1682289" y="2046109"/>
            <a:ext cx="143443" cy="73274"/>
          </a:xfrm>
          <a:prstGeom prst="corner">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r>
              <a:rPr lang="en-US" sz="1000">
                <a:solidFill>
                  <a:schemeClr val="bg2"/>
                </a:solidFill>
              </a:rPr>
              <a:t> </a:t>
            </a:r>
          </a:p>
        </xdr:txBody>
      </xdr:sp>
    </xdr:grpSp>
    <xdr:clientData/>
  </xdr:twoCellAnchor>
  <xdr:twoCellAnchor>
    <xdr:from>
      <xdr:col>2</xdr:col>
      <xdr:colOff>2416968</xdr:colOff>
      <xdr:row>3</xdr:row>
      <xdr:rowOff>0</xdr:rowOff>
    </xdr:from>
    <xdr:to>
      <xdr:col>2</xdr:col>
      <xdr:colOff>2688640</xdr:colOff>
      <xdr:row>3</xdr:row>
      <xdr:rowOff>181522</xdr:rowOff>
    </xdr:to>
    <xdr:grpSp>
      <xdr:nvGrpSpPr>
        <xdr:cNvPr id="10" name="Group 9"/>
        <xdr:cNvGrpSpPr/>
      </xdr:nvGrpSpPr>
      <xdr:grpSpPr bwMode="gray">
        <a:xfrm>
          <a:off x="4448968" y="1238250"/>
          <a:ext cx="271672" cy="181522"/>
          <a:chOff x="5569224" y="1247744"/>
          <a:chExt cx="271672" cy="181522"/>
        </a:xfrm>
      </xdr:grpSpPr>
      <xdr:sp macro="" textlink="">
        <xdr:nvSpPr>
          <xdr:cNvPr id="11" name="Rectangle 10"/>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12" name="Round Same Side Corner Rectangle 11"/>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13" name="Group 12"/>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14" name="Freeform 13"/>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15" name="Freeform 14"/>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3</xdr:col>
      <xdr:colOff>4404</xdr:colOff>
      <xdr:row>23</xdr:row>
      <xdr:rowOff>113488</xdr:rowOff>
    </xdr:from>
    <xdr:to>
      <xdr:col>12</xdr:col>
      <xdr:colOff>0</xdr:colOff>
      <xdr:row>41</xdr:row>
      <xdr:rowOff>107155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685800</xdr:colOff>
      <xdr:row>43</xdr:row>
      <xdr:rowOff>133350</xdr:rowOff>
    </xdr:from>
    <xdr:to>
      <xdr:col>11</xdr:col>
      <xdr:colOff>1057910</xdr:colOff>
      <xdr:row>45</xdr:row>
      <xdr:rowOff>85333</xdr:rowOff>
    </xdr:to>
    <xdr:pic>
      <xdr:nvPicPr>
        <xdr:cNvPr id="17" name="Picture 16">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30075" y="12068175"/>
          <a:ext cx="1191260" cy="332983"/>
        </a:xfrm>
        <a:prstGeom prst="rect">
          <a:avLst/>
        </a:prstGeom>
        <a:noFill/>
        <a:ln>
          <a:noFill/>
        </a:ln>
      </xdr:spPr>
    </xdr:pic>
    <xdr:clientData/>
  </xdr:twoCellAnchor>
  <xdr:twoCellAnchor>
    <xdr:from>
      <xdr:col>11</xdr:col>
      <xdr:colOff>1200150</xdr:colOff>
      <xdr:row>43</xdr:row>
      <xdr:rowOff>133350</xdr:rowOff>
    </xdr:from>
    <xdr:to>
      <xdr:col>12</xdr:col>
      <xdr:colOff>99751</xdr:colOff>
      <xdr:row>45</xdr:row>
      <xdr:rowOff>85333</xdr:rowOff>
    </xdr:to>
    <xdr:pic>
      <xdr:nvPicPr>
        <xdr:cNvPr id="18" name="Picture 17">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63575" y="12068175"/>
          <a:ext cx="1204651" cy="332983"/>
        </a:xfrm>
        <a:prstGeom prst="rect">
          <a:avLst/>
        </a:prstGeom>
        <a:noFill/>
        <a:ln>
          <a:noFill/>
        </a:ln>
      </xdr:spPr>
    </xdr:pic>
    <xdr:clientData/>
  </xdr:twoCellAnchor>
  <xdr:twoCellAnchor>
    <xdr:from>
      <xdr:col>1</xdr:col>
      <xdr:colOff>165100</xdr:colOff>
      <xdr:row>2</xdr:row>
      <xdr:rowOff>152400</xdr:rowOff>
    </xdr:from>
    <xdr:to>
      <xdr:col>12</xdr:col>
      <xdr:colOff>14274</xdr:colOff>
      <xdr:row>43</xdr:row>
      <xdr:rowOff>46977</xdr:rowOff>
    </xdr:to>
    <xdr:sp macro="" textlink="">
      <xdr:nvSpPr>
        <xdr:cNvPr id="34" name="TextBox 33"/>
        <xdr:cNvSpPr txBox="1"/>
      </xdr:nvSpPr>
      <xdr:spPr bwMode="gray">
        <a:xfrm>
          <a:off x="1917700" y="1206500"/>
          <a:ext cx="12561874" cy="10803877"/>
        </a:xfrm>
        <a:prstGeom prst="rect">
          <a:avLst/>
        </a:prstGeom>
        <a:solidFill>
          <a:schemeClr val="tx1"/>
        </a:solidFill>
        <a:ln>
          <a:solidFill>
            <a:schemeClr val="tx1"/>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200" b="1">
              <a:solidFill>
                <a:schemeClr val="bg1"/>
              </a:solidFill>
              <a:latin typeface="+mn-lt"/>
              <a:ea typeface="+mn-ea"/>
              <a:cs typeface="+mn-cs"/>
            </a:rPr>
            <a:t>Your institution did not administer this survey module. </a:t>
          </a:r>
        </a:p>
      </xdr:txBody>
    </xdr:sp>
    <xdr:clientData/>
  </xdr:twoCellAnchor>
  <xdr:twoCellAnchor>
    <xdr:from>
      <xdr:col>0</xdr:col>
      <xdr:colOff>0</xdr:colOff>
      <xdr:row>2</xdr:row>
      <xdr:rowOff>0</xdr:rowOff>
    </xdr:from>
    <xdr:to>
      <xdr:col>1</xdr:col>
      <xdr:colOff>32800</xdr:colOff>
      <xdr:row>19</xdr:row>
      <xdr:rowOff>332575</xdr:rowOff>
    </xdr:to>
    <xdr:grpSp>
      <xdr:nvGrpSpPr>
        <xdr:cNvPr id="35" name="Group 34"/>
        <xdr:cNvGrpSpPr/>
      </xdr:nvGrpSpPr>
      <xdr:grpSpPr>
        <a:xfrm>
          <a:off x="0" y="1047750"/>
          <a:ext cx="1789633" cy="5391408"/>
          <a:chOff x="0" y="1052763"/>
          <a:chExt cx="1784684" cy="5387175"/>
        </a:xfrm>
      </xdr:grpSpPr>
      <xdr:sp macro="" textlink="">
        <xdr:nvSpPr>
          <xdr:cNvPr id="36" name="TextBox 35"/>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37" name="TextBox 36">
            <a:hlinkClick xmlns:r="http://schemas.openxmlformats.org/officeDocument/2006/relationships" r:id="rId8"/>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38" name="TextBox 37">
            <a:hlinkClick xmlns:r="http://schemas.openxmlformats.org/officeDocument/2006/relationships" r:id="rId9"/>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39" name="TextBox 38">
            <a:hlinkClick xmlns:r="http://schemas.openxmlformats.org/officeDocument/2006/relationships" r:id="rId10"/>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40" name="TextBox 39">
            <a:hlinkClick xmlns:r="http://schemas.openxmlformats.org/officeDocument/2006/relationships" r:id="rId11"/>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41" name="TextBox 40">
            <a:hlinkClick xmlns:r="http://schemas.openxmlformats.org/officeDocument/2006/relationships" r:id="rId12"/>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42" name="TextBox 41">
            <a:hlinkClick xmlns:r="http://schemas.openxmlformats.org/officeDocument/2006/relationships" r:id="rId13"/>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43" name="TextBox 42">
            <a:hlinkClick xmlns:r="http://schemas.openxmlformats.org/officeDocument/2006/relationships" r:id="rId6"/>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44" name="TextBox 43">
            <a:hlinkClick xmlns:r="http://schemas.openxmlformats.org/officeDocument/2006/relationships" r:id="rId14"/>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45" name="TextBox 44">
            <a:hlinkClick xmlns:r="http://schemas.openxmlformats.org/officeDocument/2006/relationships" r:id="rId15"/>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46" name="TextBox 45">
            <a:hlinkClick xmlns:r="http://schemas.openxmlformats.org/officeDocument/2006/relationships" r:id="rId16"/>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47" name="TextBox 46">
            <a:hlinkClick xmlns:r="http://schemas.openxmlformats.org/officeDocument/2006/relationships" r:id="rId17"/>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48" name="TextBox 47">
            <a:hlinkClick xmlns:r="http://schemas.openxmlformats.org/officeDocument/2006/relationships" r:id="rId18"/>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49" name="TextBox 48">
            <a:hlinkClick xmlns:r="http://schemas.openxmlformats.org/officeDocument/2006/relationships" r:id="rId4"/>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1506064</xdr:colOff>
      <xdr:row>0</xdr:row>
      <xdr:rowOff>643890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429864" cy="548640"/>
        </a:xfrm>
        <a:prstGeom prst="rect">
          <a:avLst/>
        </a:prstGeom>
      </xdr:spPr>
    </xdr:pic>
    <xdr:clientData/>
  </xdr:twoCellAnchor>
  <xdr:twoCellAnchor>
    <xdr:from>
      <xdr:col>2</xdr:col>
      <xdr:colOff>328067</xdr:colOff>
      <xdr:row>5</xdr:row>
      <xdr:rowOff>35813</xdr:rowOff>
    </xdr:from>
    <xdr:to>
      <xdr:col>4</xdr:col>
      <xdr:colOff>721179</xdr:colOff>
      <xdr:row>13</xdr:row>
      <xdr:rowOff>190499</xdr:rowOff>
    </xdr:to>
    <xdr:sp macro="" textlink="">
      <xdr:nvSpPr>
        <xdr:cNvPr id="3" name="TextBox 14">
          <a:hlinkClick xmlns:r="http://schemas.openxmlformats.org/officeDocument/2006/relationships" r:id="rId2"/>
        </xdr:cNvPr>
        <xdr:cNvSpPr txBox="1"/>
      </xdr:nvSpPr>
      <xdr:spPr bwMode="gray">
        <a:xfrm>
          <a:off x="2355531" y="1682277"/>
          <a:ext cx="4420827" cy="1787543"/>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Sexual Misconduct Reporting: Critical Areas for Colleges and Universities to Address</a:t>
          </a:r>
        </a:p>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0" i="1" u="none" strike="noStrike" kern="0" cap="none" spc="0" normalizeH="0" baseline="0" noProof="0">
              <a:ln>
                <a:noFill/>
              </a:ln>
              <a:solidFill>
                <a:sysClr val="windowText" lastClr="000000"/>
              </a:solidFill>
              <a:effectLst/>
              <a:uLnTx/>
              <a:uFillTx/>
              <a:latin typeface="+mn-lt"/>
              <a:ea typeface="+mn-ea"/>
              <a:cs typeface="+mn-cs"/>
            </a:rPr>
            <a:t>Study, Toolkit, and On-Demand Webconferences</a:t>
          </a:r>
        </a:p>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0" i="0" u="none" strike="noStrike" kern="0" cap="none" spc="0" normalizeH="0" baseline="0" noProof="0">
              <a:ln>
                <a:noFill/>
              </a:ln>
              <a:solidFill>
                <a:schemeClr val="tx1"/>
              </a:solidFill>
              <a:effectLst/>
              <a:uLnTx/>
              <a:uFillTx/>
              <a:latin typeface="+mn-lt"/>
              <a:ea typeface="+mn-ea"/>
              <a:cs typeface="+mn-cs"/>
            </a:rPr>
            <a:t>Instances of sexual misconduct are vastly underreported on college and university campuses. This study discusses how to recalibrate education and outreach for the campus community, redesign reporting options for students, and streamline institutional report intake and management processes. This study also explores how institutions are using campus climate and reporting data to drive decision-making on campus.</a:t>
          </a:r>
          <a:endParaRPr lang="en-US" sz="1000" b="0"/>
        </a:p>
      </xdr:txBody>
    </xdr:sp>
    <xdr:clientData/>
  </xdr:twoCellAnchor>
  <xdr:twoCellAnchor>
    <xdr:from>
      <xdr:col>4</xdr:col>
      <xdr:colOff>1908714</xdr:colOff>
      <xdr:row>4</xdr:row>
      <xdr:rowOff>65768</xdr:rowOff>
    </xdr:from>
    <xdr:to>
      <xdr:col>9</xdr:col>
      <xdr:colOff>3715</xdr:colOff>
      <xdr:row>37</xdr:row>
      <xdr:rowOff>84667</xdr:rowOff>
    </xdr:to>
    <xdr:sp macro="" textlink="">
      <xdr:nvSpPr>
        <xdr:cNvPr id="4" name="Line Callout 2 (No Border) 86">
          <a:hlinkClick xmlns:r="http://schemas.openxmlformats.org/officeDocument/2006/relationships" r:id="rId3"/>
        </xdr:cNvPr>
        <xdr:cNvSpPr/>
      </xdr:nvSpPr>
      <xdr:spPr bwMode="gray">
        <a:xfrm>
          <a:off x="7972964" y="1505101"/>
          <a:ext cx="5090584" cy="5628066"/>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500"/>
            </a:spcAft>
          </a:pPr>
          <a:r>
            <a:rPr lang="en-US" sz="1000" b="1" kern="1200">
              <a:solidFill>
                <a:schemeClr val="tx1"/>
              </a:solidFill>
              <a:effectLst/>
              <a:ea typeface="Times New Roman"/>
              <a:cs typeface="Times New Roman"/>
            </a:rPr>
            <a:t>EAB Sexual Violence Prevention and Response Resource Hub</a:t>
          </a:r>
        </a:p>
        <a:p>
          <a:pPr marL="0" marR="0">
            <a:spcAft>
              <a:spcPts val="600"/>
            </a:spcAft>
          </a:pPr>
          <a:r>
            <a:rPr lang="en-US" sz="1000" b="0" kern="1200">
              <a:solidFill>
                <a:schemeClr val="tx1"/>
              </a:solidFill>
              <a:effectLst/>
              <a:ea typeface="Times New Roman"/>
              <a:cs typeface="Times New Roman"/>
            </a:rPr>
            <a:t>The hub is a repository of carefully vetted guidance documents, tools, and resources that provide best practices to effectively address sexual violence on campus. This is a growing space that will continue to expand as new guidance emerges in this topic area.</a:t>
          </a:r>
          <a:endParaRPr lang="en-US" sz="1000" b="0" kern="1200">
            <a:solidFill>
              <a:schemeClr val="tx1"/>
            </a:solidFill>
            <a:effectLst/>
            <a:latin typeface="+mn-lt"/>
            <a:ea typeface="Times New Roman"/>
            <a:cs typeface="Times New Roman"/>
          </a:endParaRPr>
        </a:p>
        <a:p>
          <a:pPr marL="0" marR="0">
            <a:spcAft>
              <a:spcPts val="600"/>
            </a:spcAft>
          </a:pPr>
          <a:r>
            <a:rPr lang="en-US" sz="1000">
              <a:solidFill>
                <a:schemeClr val="tx1"/>
              </a:solidFill>
              <a:effectLst/>
              <a:latin typeface="+mn-lt"/>
              <a:ea typeface="Times New Roman"/>
              <a:cs typeface="+mn-cs"/>
            </a:rPr>
            <a:t>The hub is organized into six critical categories. </a:t>
          </a:r>
        </a:p>
        <a:p>
          <a:pPr marL="0" marR="0">
            <a:spcAft>
              <a:spcPts val="600"/>
            </a:spcAft>
          </a:pPr>
          <a:r>
            <a:rPr lang="en-US" sz="1000" b="1">
              <a:solidFill>
                <a:schemeClr val="tx1"/>
              </a:solidFill>
              <a:effectLst/>
              <a:latin typeface="+mn-lt"/>
              <a:ea typeface="Times New Roman"/>
              <a:cs typeface="+mn-cs"/>
            </a:rPr>
            <a:t>Federal Legislation and Guidance</a:t>
          </a:r>
        </a:p>
        <a:p>
          <a:pPr marL="0" marR="0">
            <a:spcAft>
              <a:spcPts val="600"/>
            </a:spcAft>
          </a:pPr>
          <a:r>
            <a:rPr lang="en-US" sz="1000" b="0">
              <a:solidFill>
                <a:schemeClr val="tx1"/>
              </a:solidFill>
              <a:effectLst/>
              <a:latin typeface="+mn-lt"/>
              <a:ea typeface="Times New Roman"/>
              <a:cs typeface="+mn-cs"/>
            </a:rPr>
            <a:t>Resources to help institutions determine if they are compliant with recent federal legislation and guidance from the Department of Education regarding Title IX and the Clery Act.</a:t>
          </a:r>
        </a:p>
        <a:p>
          <a:pPr marL="0" marR="0">
            <a:spcAft>
              <a:spcPts val="600"/>
            </a:spcAft>
          </a:pPr>
          <a:r>
            <a:rPr lang="en-US" sz="1000" b="1">
              <a:solidFill>
                <a:schemeClr val="tx1"/>
              </a:solidFill>
              <a:effectLst/>
              <a:latin typeface="+mn-lt"/>
              <a:ea typeface="Times New Roman"/>
              <a:cs typeface="+mn-cs"/>
            </a:rPr>
            <a:t>Prevention and Response</a:t>
          </a:r>
        </a:p>
        <a:p>
          <a:pPr marL="0" marR="0">
            <a:spcAft>
              <a:spcPts val="600"/>
            </a:spcAft>
          </a:pPr>
          <a:r>
            <a:rPr lang="en-US" sz="1000" b="0">
              <a:solidFill>
                <a:schemeClr val="tx1"/>
              </a:solidFill>
              <a:effectLst/>
              <a:latin typeface="+mn-lt"/>
              <a:ea typeface="Times New Roman"/>
              <a:cs typeface="+mn-cs"/>
            </a:rPr>
            <a:t>Recommendations for creating strong sexual violence prevention programs and response structures, including a dedicated task force, on campus.</a:t>
          </a:r>
        </a:p>
        <a:p>
          <a:pPr marL="0" marR="0">
            <a:spcAft>
              <a:spcPts val="600"/>
            </a:spcAft>
          </a:pPr>
          <a:r>
            <a:rPr lang="en-US" sz="1000" b="1">
              <a:solidFill>
                <a:schemeClr val="tx1"/>
              </a:solidFill>
              <a:effectLst/>
              <a:latin typeface="+mn-lt"/>
              <a:ea typeface="Times New Roman"/>
              <a:cs typeface="+mn-cs"/>
            </a:rPr>
            <a:t>Policies, Procedures, and Community Partnerships</a:t>
          </a:r>
        </a:p>
        <a:p>
          <a:pPr marL="0" marR="0">
            <a:spcAft>
              <a:spcPts val="600"/>
            </a:spcAft>
          </a:pPr>
          <a:r>
            <a:rPr lang="en-US" sz="1000" b="0">
              <a:solidFill>
                <a:schemeClr val="tx1"/>
              </a:solidFill>
              <a:effectLst/>
              <a:latin typeface="+mn-lt"/>
              <a:ea typeface="Times New Roman"/>
              <a:cs typeface="+mn-cs"/>
            </a:rPr>
            <a:t>Guidance in developing sexual misconduct policies and procedures and building effective community partnerships. </a:t>
          </a:r>
          <a:endParaRPr lang="en-US" sz="1000" b="1">
            <a:solidFill>
              <a:schemeClr val="tx1"/>
            </a:solidFill>
            <a:effectLst/>
            <a:latin typeface="+mn-lt"/>
            <a:ea typeface="Times New Roman"/>
            <a:cs typeface="+mn-cs"/>
          </a:endParaRPr>
        </a:p>
        <a:p>
          <a:pPr marL="0" marR="0">
            <a:spcAft>
              <a:spcPts val="600"/>
            </a:spcAft>
          </a:pPr>
          <a:r>
            <a:rPr lang="en-US" sz="1000" b="1">
              <a:solidFill>
                <a:schemeClr val="tx1"/>
              </a:solidFill>
              <a:effectLst/>
              <a:latin typeface="+mn-lt"/>
              <a:ea typeface="Times New Roman"/>
              <a:cs typeface="+mn-cs"/>
            </a:rPr>
            <a:t>Reporting, Investigations, and Adjudications</a:t>
          </a:r>
        </a:p>
        <a:p>
          <a:pPr marL="0" marR="0">
            <a:spcAft>
              <a:spcPts val="600"/>
            </a:spcAft>
          </a:pPr>
          <a:r>
            <a:rPr lang="en-US" sz="1000" b="0">
              <a:solidFill>
                <a:schemeClr val="tx1"/>
              </a:solidFill>
              <a:effectLst/>
              <a:latin typeface="+mn-lt"/>
              <a:ea typeface="Times New Roman"/>
              <a:cs typeface="+mn-cs"/>
            </a:rPr>
            <a:t>Strategies for improving reporting structures on campus, resolving sexual harassment claims, adjudicating sexual misconduct cases, and imposing student sanctions.</a:t>
          </a:r>
          <a:endParaRPr lang="en-US" sz="1000" b="1">
            <a:solidFill>
              <a:schemeClr val="tx1"/>
            </a:solidFill>
            <a:effectLst/>
            <a:latin typeface="+mn-lt"/>
            <a:ea typeface="Times New Roman"/>
            <a:cs typeface="+mn-cs"/>
          </a:endParaRPr>
        </a:p>
        <a:p>
          <a:pPr marL="0" marR="0">
            <a:spcAft>
              <a:spcPts val="600"/>
            </a:spcAft>
          </a:pPr>
          <a:r>
            <a:rPr lang="en-US" sz="1000" b="1">
              <a:solidFill>
                <a:schemeClr val="tx1"/>
              </a:solidFill>
              <a:effectLst/>
              <a:latin typeface="+mn-lt"/>
              <a:ea typeface="Times New Roman"/>
              <a:cs typeface="+mn-cs"/>
            </a:rPr>
            <a:t>Public </a:t>
          </a:r>
          <a:r>
            <a:rPr lang="en-US" sz="1000" b="1" baseline="0">
              <a:solidFill>
                <a:schemeClr val="tx1"/>
              </a:solidFill>
              <a:effectLst/>
              <a:latin typeface="+mn-lt"/>
              <a:ea typeface="Times New Roman"/>
              <a:cs typeface="+mn-cs"/>
            </a:rPr>
            <a:t>Relations</a:t>
          </a:r>
        </a:p>
        <a:p>
          <a:pPr marL="0" marR="0">
            <a:spcAft>
              <a:spcPts val="600"/>
            </a:spcAft>
          </a:pPr>
          <a:r>
            <a:rPr lang="en-US" sz="1000" b="0" baseline="0">
              <a:solidFill>
                <a:schemeClr val="tx1"/>
              </a:solidFill>
              <a:effectLst/>
              <a:latin typeface="+mn-lt"/>
              <a:ea typeface="Times New Roman"/>
              <a:cs typeface="+mn-cs"/>
            </a:rPr>
            <a:t>Strategies for working with local and national media so that issues of on-campus sexual violence are accurately contextualized and reported.</a:t>
          </a:r>
        </a:p>
        <a:p>
          <a:pPr marL="0" marR="0">
            <a:spcAft>
              <a:spcPts val="600"/>
            </a:spcAft>
          </a:pPr>
          <a:r>
            <a:rPr lang="en-US" sz="1000" b="1" baseline="0">
              <a:solidFill>
                <a:schemeClr val="tx1"/>
              </a:solidFill>
              <a:effectLst/>
              <a:latin typeface="+mn-lt"/>
              <a:ea typeface="Times New Roman"/>
              <a:cs typeface="+mn-cs"/>
            </a:rPr>
            <a:t>Websites </a:t>
          </a:r>
        </a:p>
        <a:p>
          <a:pPr marL="0" marR="0">
            <a:spcAft>
              <a:spcPts val="600"/>
            </a:spcAft>
          </a:pPr>
          <a:r>
            <a:rPr lang="en-US" sz="1000">
              <a:solidFill>
                <a:schemeClr val="tx1"/>
              </a:solidFill>
              <a:effectLst/>
              <a:latin typeface="+mn-lt"/>
              <a:ea typeface="Times New Roman"/>
              <a:cs typeface="+mn-cs"/>
            </a:rPr>
            <a:t>Online centers that provide research, resources, training, and tools on sexual violence prevention, response, policy, and legislative requirements.</a:t>
          </a:r>
        </a:p>
      </xdr:txBody>
    </xdr:sp>
    <xdr:clientData/>
  </xdr:twoCellAnchor>
  <xdr:twoCellAnchor>
    <xdr:from>
      <xdr:col>8</xdr:col>
      <xdr:colOff>2516609</xdr:colOff>
      <xdr:row>4</xdr:row>
      <xdr:rowOff>80201</xdr:rowOff>
    </xdr:from>
    <xdr:to>
      <xdr:col>8</xdr:col>
      <xdr:colOff>2788281</xdr:colOff>
      <xdr:row>5</xdr:row>
      <xdr:rowOff>61196</xdr:rowOff>
    </xdr:to>
    <xdr:grpSp>
      <xdr:nvGrpSpPr>
        <xdr:cNvPr id="5" name="Group 4"/>
        <xdr:cNvGrpSpPr/>
      </xdr:nvGrpSpPr>
      <xdr:grpSpPr bwMode="gray">
        <a:xfrm>
          <a:off x="12771859" y="1519534"/>
          <a:ext cx="271672" cy="182079"/>
          <a:chOff x="3003586" y="3322911"/>
          <a:chExt cx="271672" cy="181522"/>
        </a:xfrm>
      </xdr:grpSpPr>
      <xdr:sp macro="" textlink="">
        <xdr:nvSpPr>
          <xdr:cNvPr id="6" name="Rectangle 5"/>
          <xdr:cNvSpPr/>
        </xdr:nvSpPr>
        <xdr:spPr bwMode="gray">
          <a:xfrm>
            <a:off x="3003586" y="332291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7" name="Round Same Side Corner Rectangle 6"/>
          <xdr:cNvSpPr/>
        </xdr:nvSpPr>
        <xdr:spPr bwMode="gray">
          <a:xfrm rot="10800000">
            <a:off x="3003586" y="332291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8" name="Group 7"/>
          <xdr:cNvGrpSpPr/>
        </xdr:nvGrpSpPr>
        <xdr:grpSpPr bwMode="gray">
          <a:xfrm>
            <a:off x="3055703" y="3353657"/>
            <a:ext cx="109537" cy="120031"/>
            <a:chOff x="3055702" y="3350573"/>
            <a:chExt cx="109537" cy="120031"/>
          </a:xfrm>
        </xdr:grpSpPr>
        <xdr:sp macro="" textlink="">
          <xdr:nvSpPr>
            <xdr:cNvPr id="9" name="Rounded Rectangle 8"/>
            <xdr:cNvSpPr/>
          </xdr:nvSpPr>
          <xdr:spPr bwMode="gray">
            <a:xfrm>
              <a:off x="3055702" y="3350573"/>
              <a:ext cx="109537" cy="88107"/>
            </a:xfrm>
            <a:prstGeom prst="roundRect">
              <a:avLst/>
            </a:pr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endParaRPr lang="en-US"/>
            </a:p>
          </xdr:txBody>
        </xdr:sp>
        <xdr:sp macro="" textlink="">
          <xdr:nvSpPr>
            <xdr:cNvPr id="10" name="Rectangle 9"/>
            <xdr:cNvSpPr/>
          </xdr:nvSpPr>
          <xdr:spPr bwMode="gray">
            <a:xfrm>
              <a:off x="3101326" y="3435643"/>
              <a:ext cx="18288" cy="18288"/>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endParaRPr lang="en-US"/>
            </a:p>
          </xdr:txBody>
        </xdr:sp>
        <xdr:sp macro="" textlink="">
          <xdr:nvSpPr>
            <xdr:cNvPr id="11" name="Rounded Rectangle 10"/>
            <xdr:cNvSpPr/>
          </xdr:nvSpPr>
          <xdr:spPr bwMode="gray">
            <a:xfrm>
              <a:off x="3073894" y="3452316"/>
              <a:ext cx="73152" cy="18288"/>
            </a:xfrm>
            <a:prstGeom prst="round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endParaRPr lang="en-US"/>
            </a:p>
          </xdr:txBody>
        </xdr:sp>
      </xdr:grpSp>
    </xdr:grpSp>
    <xdr:clientData/>
  </xdr:twoCellAnchor>
  <xdr:twoCellAnchor>
    <xdr:from>
      <xdr:col>8</xdr:col>
      <xdr:colOff>1584158</xdr:colOff>
      <xdr:row>38</xdr:row>
      <xdr:rowOff>91664</xdr:rowOff>
    </xdr:from>
    <xdr:to>
      <xdr:col>9</xdr:col>
      <xdr:colOff>3715</xdr:colOff>
      <xdr:row>41</xdr:row>
      <xdr:rowOff>14375</xdr:rowOff>
    </xdr:to>
    <xdr:pic>
      <xdr:nvPicPr>
        <xdr:cNvPr id="12" name="Picture 11">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833058" y="7187789"/>
          <a:ext cx="1219907" cy="351336"/>
        </a:xfrm>
        <a:prstGeom prst="rect">
          <a:avLst/>
        </a:prstGeom>
        <a:noFill/>
        <a:ln>
          <a:noFill/>
        </a:ln>
      </xdr:spPr>
    </xdr:pic>
    <xdr:clientData/>
  </xdr:twoCellAnchor>
  <xdr:twoCellAnchor>
    <xdr:from>
      <xdr:col>2</xdr:col>
      <xdr:colOff>328067</xdr:colOff>
      <xdr:row>14</xdr:row>
      <xdr:rowOff>205902</xdr:rowOff>
    </xdr:from>
    <xdr:to>
      <xdr:col>4</xdr:col>
      <xdr:colOff>721179</xdr:colOff>
      <xdr:row>24</xdr:row>
      <xdr:rowOff>88446</xdr:rowOff>
    </xdr:to>
    <xdr:sp macro="" textlink="">
      <xdr:nvSpPr>
        <xdr:cNvPr id="13" name="TextBox 14">
          <a:hlinkClick xmlns:r="http://schemas.openxmlformats.org/officeDocument/2006/relationships" r:id="rId6"/>
        </xdr:cNvPr>
        <xdr:cNvSpPr txBox="1"/>
      </xdr:nvSpPr>
      <xdr:spPr bwMode="gray">
        <a:xfrm>
          <a:off x="2355531" y="3689331"/>
          <a:ext cx="4420827" cy="1569829"/>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l">
            <a:spcBef>
              <a:spcPts val="700"/>
            </a:spcBef>
          </a:pPr>
          <a:r>
            <a:rPr lang="en-US" sz="1000" b="1">
              <a:solidFill>
                <a:sysClr val="windowText" lastClr="000000"/>
              </a:solidFill>
            </a:rPr>
            <a:t>Building an Effective University Infrastructure: Addressing Sexual Violence on Campus</a:t>
          </a:r>
        </a:p>
        <a:p>
          <a:pPr algn="l">
            <a:spcBef>
              <a:spcPts val="700"/>
            </a:spcBef>
          </a:pPr>
          <a:r>
            <a:rPr lang="en-US" sz="1000" b="0" i="1">
              <a:solidFill>
                <a:sysClr val="windowText" lastClr="000000"/>
              </a:solidFill>
            </a:rPr>
            <a:t>Study, Toolkit,</a:t>
          </a:r>
          <a:r>
            <a:rPr lang="en-US" sz="1000" b="0" i="1" baseline="0">
              <a:solidFill>
                <a:sysClr val="windowText" lastClr="000000"/>
              </a:solidFill>
            </a:rPr>
            <a:t> a</a:t>
          </a:r>
          <a:r>
            <a:rPr lang="en-US" sz="1000" b="0" i="1">
              <a:solidFill>
                <a:sysClr val="windowText" lastClr="000000"/>
              </a:solidFill>
            </a:rPr>
            <a:t>nd On-Demand</a:t>
          </a:r>
          <a:r>
            <a:rPr lang="en-US" sz="1000" b="0" i="1" baseline="0">
              <a:solidFill>
                <a:sysClr val="windowText" lastClr="000000"/>
              </a:solidFill>
            </a:rPr>
            <a:t> Webconference</a:t>
          </a:r>
          <a:endParaRPr lang="en-US" sz="1000" b="0" i="1">
            <a:solidFill>
              <a:sysClr val="windowText" lastClr="000000"/>
            </a:solidFill>
          </a:endParaRPr>
        </a:p>
        <a:p>
          <a:pPr algn="l">
            <a:spcBef>
              <a:spcPts val="700"/>
            </a:spcBef>
          </a:pPr>
          <a:r>
            <a:rPr lang="en-US" sz="1000" b="0" i="0">
              <a:solidFill>
                <a:schemeClr val="tx1"/>
              </a:solidFill>
            </a:rPr>
            <a:t>This</a:t>
          </a:r>
          <a:r>
            <a:rPr lang="en-US" sz="1000" b="0" i="0" baseline="0">
              <a:solidFill>
                <a:schemeClr val="tx1"/>
              </a:solidFill>
            </a:rPr>
            <a:t> study</a:t>
          </a:r>
          <a:r>
            <a:rPr lang="en-US" sz="1000" b="0">
              <a:solidFill>
                <a:schemeClr val="tx1"/>
              </a:solidFill>
            </a:rPr>
            <a:t> discusses how to establish an effective sexual violence task force, implement comprehensive prevention programming, and evaluate institutional efforts. The study also explores innovative strategies to build campus-wide awareness among students, faculty, and staff.</a:t>
          </a:r>
        </a:p>
      </xdr:txBody>
    </xdr:sp>
    <xdr:clientData/>
  </xdr:twoCellAnchor>
  <xdr:twoCellAnchor>
    <xdr:from>
      <xdr:col>2</xdr:col>
      <xdr:colOff>328067</xdr:colOff>
      <xdr:row>26</xdr:row>
      <xdr:rowOff>8599</xdr:rowOff>
    </xdr:from>
    <xdr:to>
      <xdr:col>4</xdr:col>
      <xdr:colOff>721179</xdr:colOff>
      <xdr:row>36</xdr:row>
      <xdr:rowOff>112938</xdr:rowOff>
    </xdr:to>
    <xdr:sp macro="" textlink="">
      <xdr:nvSpPr>
        <xdr:cNvPr id="14" name="TextBox 14">
          <a:hlinkClick xmlns:r="http://schemas.openxmlformats.org/officeDocument/2006/relationships" r:id="rId7"/>
        </xdr:cNvPr>
        <xdr:cNvSpPr txBox="1"/>
      </xdr:nvSpPr>
      <xdr:spPr bwMode="gray">
        <a:xfrm>
          <a:off x="2355531" y="5478670"/>
          <a:ext cx="4420827" cy="1601125"/>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Beyond Orientation: New Approaches to Sexual Violence Prevention Programming </a:t>
          </a:r>
        </a:p>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0" i="1" u="none" strike="noStrike" kern="0" cap="none" spc="0" normalizeH="0" baseline="0" noProof="0">
              <a:ln>
                <a:noFill/>
              </a:ln>
              <a:solidFill>
                <a:sysClr val="windowText" lastClr="000000"/>
              </a:solidFill>
              <a:effectLst/>
              <a:uLnTx/>
              <a:uFillTx/>
              <a:latin typeface="+mn-lt"/>
              <a:ea typeface="+mn-ea"/>
              <a:cs typeface="+mn-cs"/>
            </a:rPr>
            <a:t>Online White Paper and On-Demand Webconference</a:t>
          </a:r>
        </a:p>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0" i="0" u="none" strike="noStrike" kern="0" cap="none" spc="0" normalizeH="0" baseline="0" noProof="0">
              <a:ln>
                <a:noFill/>
              </a:ln>
              <a:solidFill>
                <a:schemeClr val="tx1"/>
              </a:solidFill>
              <a:effectLst/>
              <a:uLnTx/>
              <a:uFillTx/>
              <a:latin typeface="+mn-lt"/>
              <a:ea typeface="+mn-ea"/>
              <a:cs typeface="+mn-cs"/>
            </a:rPr>
            <a:t>This white paper discusses the current state of sexual violence prevention on campus and shares innovative strategies and practices that provide students with high-quality learning opportunities to expand their knowledge and build their prevention skills throughout their time on campus.</a:t>
          </a:r>
        </a:p>
        <a:p>
          <a:pPr algn="l">
            <a:spcBef>
              <a:spcPts val="700"/>
            </a:spcBef>
          </a:pPr>
          <a:endParaRPr lang="en-US" sz="1000" b="0"/>
        </a:p>
      </xdr:txBody>
    </xdr:sp>
    <xdr:clientData/>
  </xdr:twoCellAnchor>
  <xdr:twoCellAnchor>
    <xdr:from>
      <xdr:col>0</xdr:col>
      <xdr:colOff>0</xdr:colOff>
      <xdr:row>2</xdr:row>
      <xdr:rowOff>0</xdr:rowOff>
    </xdr:from>
    <xdr:to>
      <xdr:col>1</xdr:col>
      <xdr:colOff>30079</xdr:colOff>
      <xdr:row>32</xdr:row>
      <xdr:rowOff>66782</xdr:rowOff>
    </xdr:to>
    <xdr:grpSp>
      <xdr:nvGrpSpPr>
        <xdr:cNvPr id="31" name="Group 30"/>
        <xdr:cNvGrpSpPr/>
      </xdr:nvGrpSpPr>
      <xdr:grpSpPr>
        <a:xfrm>
          <a:off x="0" y="1047750"/>
          <a:ext cx="1786912" cy="5326699"/>
          <a:chOff x="0" y="1052763"/>
          <a:chExt cx="1784684" cy="5387175"/>
        </a:xfrm>
      </xdr:grpSpPr>
      <xdr:sp macro="" textlink="">
        <xdr:nvSpPr>
          <xdr:cNvPr id="32" name="TextBox 31"/>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33" name="TextBox 32">
            <a:hlinkClick xmlns:r="http://schemas.openxmlformats.org/officeDocument/2006/relationships" r:id="rId8"/>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34" name="TextBox 33">
            <a:hlinkClick xmlns:r="http://schemas.openxmlformats.org/officeDocument/2006/relationships" r:id="rId9"/>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35" name="TextBox 34">
            <a:hlinkClick xmlns:r="http://schemas.openxmlformats.org/officeDocument/2006/relationships" r:id="rId10"/>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36" name="TextBox 35">
            <a:hlinkClick xmlns:r="http://schemas.openxmlformats.org/officeDocument/2006/relationships" r:id="rId11"/>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37" name="TextBox 36">
            <a:hlinkClick xmlns:r="http://schemas.openxmlformats.org/officeDocument/2006/relationships" r:id="rId12"/>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38" name="TextBox 37">
            <a:hlinkClick xmlns:r="http://schemas.openxmlformats.org/officeDocument/2006/relationships" r:id="rId13"/>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39" name="TextBox 38">
            <a:hlinkClick xmlns:r="http://schemas.openxmlformats.org/officeDocument/2006/relationships" r:id="rId14"/>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40" name="TextBox 39">
            <a:hlinkClick xmlns:r="http://schemas.openxmlformats.org/officeDocument/2006/relationships" r:id="rId15"/>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41" name="TextBox 40">
            <a:hlinkClick xmlns:r="http://schemas.openxmlformats.org/officeDocument/2006/relationships" r:id="rId16"/>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42" name="TextBox 41">
            <a:hlinkClick xmlns:r="http://schemas.openxmlformats.org/officeDocument/2006/relationships" r:id="rId4"/>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43" name="TextBox 42">
            <a:hlinkClick xmlns:r="http://schemas.openxmlformats.org/officeDocument/2006/relationships" r:id="rId17"/>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44" name="TextBox 43">
            <a:hlinkClick xmlns:r="http://schemas.openxmlformats.org/officeDocument/2006/relationships" r:id="rId18"/>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45" name="TextBox 44">
            <a:hlinkClick xmlns:r="http://schemas.openxmlformats.org/officeDocument/2006/relationships" r:id="rId19"/>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10</xdr:col>
      <xdr:colOff>661737</xdr:colOff>
      <xdr:row>10</xdr:row>
      <xdr:rowOff>10026</xdr:rowOff>
    </xdr:from>
    <xdr:to>
      <xdr:col>12</xdr:col>
      <xdr:colOff>72189</xdr:colOff>
      <xdr:row>14</xdr:row>
      <xdr:rowOff>162426</xdr:rowOff>
    </xdr:to>
    <xdr:sp macro="" textlink="">
      <xdr:nvSpPr>
        <xdr:cNvPr id="3" name="TextBox 2"/>
        <xdr:cNvSpPr txBox="1"/>
      </xdr:nvSpPr>
      <xdr:spPr bwMode="gray">
        <a:xfrm>
          <a:off x="11720262" y="2581776"/>
          <a:ext cx="915402" cy="914400"/>
        </a:xfrm>
        <a:prstGeom prst="rect">
          <a:avLst/>
        </a:prstGeom>
        <a:noFill/>
      </xdr:spPr>
      <xdr:txBody>
        <a:bodyPr vertOverflow="clip" horzOverflow="clip" wrap="non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endParaRPr lang="en-US" sz="1000" b="0">
            <a:solidFill>
              <a:schemeClr val="tx1"/>
            </a:solidFill>
            <a:latin typeface="+mn-lt"/>
            <a:ea typeface="+mn-ea"/>
            <a:cs typeface="+mn-cs"/>
          </a:endParaRPr>
        </a:p>
      </xdr:txBody>
    </xdr:sp>
    <xdr:clientData/>
  </xdr:twoCellAnchor>
  <xdr:twoCellAnchor editAs="absolute">
    <xdr:from>
      <xdr:col>6</xdr:col>
      <xdr:colOff>127964</xdr:colOff>
      <xdr:row>3</xdr:row>
      <xdr:rowOff>5</xdr:rowOff>
    </xdr:from>
    <xdr:to>
      <xdr:col>13</xdr:col>
      <xdr:colOff>6775</xdr:colOff>
      <xdr:row>24</xdr:row>
      <xdr:rowOff>180582</xdr:rowOff>
    </xdr:to>
    <xdr:sp macro="" textlink="">
      <xdr:nvSpPr>
        <xdr:cNvPr id="5" name="Line Callout 2 (No Border) 86"/>
        <xdr:cNvSpPr/>
      </xdr:nvSpPr>
      <xdr:spPr bwMode="gray">
        <a:xfrm>
          <a:off x="8169785" y="1238255"/>
          <a:ext cx="5376097" cy="5963613"/>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i="0" kern="1200" baseline="0">
              <a:solidFill>
                <a:schemeClr val="tx1"/>
              </a:solidFill>
              <a:effectLst/>
              <a:latin typeface="+mn-lt"/>
              <a:ea typeface="Times New Roman"/>
              <a:cs typeface="Times New Roman"/>
            </a:rPr>
            <a:t>Frequently Asked Questions </a:t>
          </a:r>
        </a:p>
        <a:p>
          <a:pPr marL="0" marR="0">
            <a:spcAft>
              <a:spcPts val="500"/>
            </a:spcAft>
          </a:pPr>
          <a:r>
            <a:rPr lang="en-US" sz="900" b="0" i="1" kern="1200" baseline="0">
              <a:solidFill>
                <a:schemeClr val="tx1"/>
              </a:solidFill>
              <a:effectLst/>
              <a:latin typeface="+mn-lt"/>
              <a:ea typeface="Times New Roman"/>
              <a:cs typeface="Times New Roman"/>
            </a:rPr>
            <a:t>If the survey response rate is low, how representative are the survey results of our student population?</a:t>
          </a:r>
        </a:p>
        <a:p>
          <a:pPr marL="0" marR="0">
            <a:spcAft>
              <a:spcPts val="1000"/>
            </a:spcAft>
          </a:pPr>
          <a:r>
            <a:rPr lang="en-US" sz="900" b="0" i="0" kern="1200" baseline="0">
              <a:solidFill>
                <a:schemeClr val="tx1"/>
              </a:solidFill>
              <a:effectLst/>
              <a:latin typeface="+mn-lt"/>
              <a:ea typeface="Times New Roman"/>
              <a:cs typeface="Times New Roman"/>
            </a:rPr>
            <a:t>EAB is not able to determine to what extent the survey respondents reflect the makeup of your student population. Survey results may not be generalizable to the entire student body. You can work with a research expert on your campus to determine how representative the survey results are.</a:t>
          </a:r>
        </a:p>
        <a:p>
          <a:pPr marL="0" marR="0">
            <a:spcAft>
              <a:spcPts val="500"/>
            </a:spcAft>
          </a:pPr>
          <a:r>
            <a:rPr lang="en-US" sz="900" b="0" i="1" kern="1200" baseline="0">
              <a:solidFill>
                <a:schemeClr val="tx1"/>
              </a:solidFill>
              <a:effectLst/>
              <a:latin typeface="+mn-lt"/>
              <a:ea typeface="Times New Roman"/>
              <a:cs typeface="Times New Roman"/>
            </a:rPr>
            <a:t>How does my institution's survey response rate compare with other spring 2016 cohort institutions?</a:t>
          </a:r>
        </a:p>
        <a:p>
          <a:pPr marL="0" marR="0">
            <a:spcAft>
              <a:spcPts val="1000"/>
            </a:spcAft>
          </a:pPr>
          <a:r>
            <a:rPr lang="en-US" sz="900" b="0" i="0" kern="1200" baseline="0">
              <a:solidFill>
                <a:schemeClr val="tx1"/>
              </a:solidFill>
              <a:effectLst/>
              <a:latin typeface="+mn-lt"/>
              <a:ea typeface="Times New Roman"/>
              <a:cs typeface="Times New Roman"/>
            </a:rPr>
            <a:t>The average survey response rate across the 34 participating institutions was 17%. The highest institutional response rate was 52% and the lowest was 1%.</a:t>
          </a:r>
        </a:p>
        <a:p>
          <a:pPr marL="0" marR="0">
            <a:spcAft>
              <a:spcPts val="500"/>
            </a:spcAft>
          </a:pPr>
          <a:r>
            <a:rPr lang="en-US" sz="900" b="0" i="1" kern="1200" baseline="0">
              <a:solidFill>
                <a:schemeClr val="tx1"/>
              </a:solidFill>
              <a:effectLst/>
              <a:latin typeface="+mn-lt"/>
              <a:ea typeface="Times New Roman"/>
              <a:cs typeface="Times New Roman"/>
            </a:rPr>
            <a:t>What questions were asked on the survey?</a:t>
          </a:r>
        </a:p>
        <a:p>
          <a:pPr marL="0" marR="0">
            <a:spcAft>
              <a:spcPts val="1000"/>
            </a:spcAft>
          </a:pPr>
          <a:r>
            <a:rPr lang="en-US" sz="900" b="0" i="0" kern="1200" baseline="0">
              <a:solidFill>
                <a:schemeClr val="tx1"/>
              </a:solidFill>
              <a:effectLst/>
              <a:latin typeface="+mn-lt"/>
              <a:ea typeface="Times New Roman"/>
              <a:cs typeface="Times New Roman"/>
            </a:rPr>
            <a:t>The full survey can be found in your institution's EAB Box folder.</a:t>
          </a:r>
        </a:p>
        <a:p>
          <a:pPr marL="0" marR="0">
            <a:spcAft>
              <a:spcPts val="500"/>
            </a:spcAft>
          </a:pPr>
          <a:r>
            <a:rPr lang="en-US" sz="900" b="0" i="1" kern="1200" baseline="0">
              <a:solidFill>
                <a:schemeClr val="tx1"/>
              </a:solidFill>
              <a:effectLst/>
              <a:latin typeface="+mn-lt"/>
              <a:ea typeface="Times New Roman"/>
              <a:cs typeface="Times New Roman"/>
            </a:rPr>
            <a:t>A number of students only partially completed the survey. How do I know how many students answered each question? </a:t>
          </a:r>
        </a:p>
        <a:p>
          <a:pPr marL="0" marR="0">
            <a:spcAft>
              <a:spcPts val="1000"/>
            </a:spcAft>
          </a:pPr>
          <a:r>
            <a:rPr lang="en-US" sz="900" b="0" i="0" kern="1200" baseline="0">
              <a:solidFill>
                <a:schemeClr val="tx1"/>
              </a:solidFill>
              <a:effectLst/>
              <a:latin typeface="+mn-lt"/>
              <a:ea typeface="Times New Roman"/>
              <a:cs typeface="Times New Roman"/>
            </a:rPr>
            <a:t>Included next to each data chart or table is "n=." "N" is the number of students who responded to the question. The average number of responses is given in charts and tables that combine multiple questions. This is reported as "avg. n=." </a:t>
          </a:r>
        </a:p>
        <a:p>
          <a:pPr marL="0" marR="0">
            <a:spcAft>
              <a:spcPts val="500"/>
            </a:spcAft>
          </a:pPr>
          <a:r>
            <a:rPr lang="en-US" sz="900" b="0" i="1" kern="1200" baseline="0">
              <a:solidFill>
                <a:schemeClr val="tx1"/>
              </a:solidFill>
              <a:effectLst/>
              <a:latin typeface="+mn-lt"/>
              <a:ea typeface="Times New Roman"/>
              <a:cs typeface="Times New Roman"/>
            </a:rPr>
            <a:t>Were any survey questions required? </a:t>
          </a:r>
        </a:p>
        <a:p>
          <a:pPr marL="0" marR="0">
            <a:spcAft>
              <a:spcPts val="1000"/>
            </a:spcAft>
          </a:pPr>
          <a:r>
            <a:rPr lang="en-US" sz="900" b="0" i="0" kern="1200" baseline="0">
              <a:solidFill>
                <a:schemeClr val="tx1"/>
              </a:solidFill>
              <a:effectLst/>
              <a:latin typeface="+mn-lt"/>
              <a:ea typeface="Times New Roman"/>
              <a:cs typeface="Times New Roman"/>
            </a:rPr>
            <a:t>Survey respondents were required to consent to take the survey in order to proceed to the survey questions. No other survey elements were required. </a:t>
          </a:r>
        </a:p>
        <a:p>
          <a:pPr marL="0" marR="0">
            <a:spcAft>
              <a:spcPts val="500"/>
            </a:spcAft>
          </a:pPr>
          <a:r>
            <a:rPr lang="en-US" sz="900" b="0" i="1" kern="1200" baseline="0">
              <a:solidFill>
                <a:schemeClr val="tx1"/>
              </a:solidFill>
              <a:effectLst/>
              <a:latin typeface="+mn-lt"/>
              <a:ea typeface="Times New Roman"/>
              <a:cs typeface="Times New Roman"/>
            </a:rPr>
            <a:t>Why can I break out survey results only by class standing and gender (female and male only)? I want to see sexual violence, harassment, and intimate partner violence broken out by demographic characteristics like race, sexual orientation, and gender identity.</a:t>
          </a:r>
        </a:p>
        <a:p>
          <a:pPr marL="0" marR="0">
            <a:spcAft>
              <a:spcPts val="500"/>
            </a:spcAft>
          </a:pPr>
          <a:r>
            <a:rPr lang="en-US" sz="900" b="0" i="0" kern="1200" baseline="0">
              <a:solidFill>
                <a:schemeClr val="tx1"/>
              </a:solidFill>
              <a:effectLst/>
              <a:latin typeface="+mn-lt"/>
              <a:ea typeface="Times New Roman"/>
              <a:cs typeface="Times New Roman"/>
            </a:rPr>
            <a:t>In this high-level analysis, the climate survey team selectively broke out survey results that could best guide sexual violence prevention and response strategy. We did not break out results by demographic characteristics when response counts for a given demographic category were so low </a:t>
          </a:r>
          <a:r>
            <a:rPr lang="en-US" sz="900" b="1" i="0" kern="1200" baseline="0">
              <a:solidFill>
                <a:schemeClr val="tx1"/>
              </a:solidFill>
              <a:effectLst/>
              <a:latin typeface="+mn-lt"/>
              <a:ea typeface="Times New Roman"/>
              <a:cs typeface="Times New Roman"/>
            </a:rPr>
            <a:t>(15 or less)</a:t>
          </a:r>
          <a:r>
            <a:rPr lang="en-US" sz="900" b="0" i="0" kern="1200" baseline="0">
              <a:solidFill>
                <a:schemeClr val="tx1"/>
              </a:solidFill>
              <a:effectLst/>
              <a:latin typeface="+mn-lt"/>
              <a:ea typeface="Times New Roman"/>
              <a:cs typeface="Times New Roman"/>
            </a:rPr>
            <a:t> that student privacy would be jeopardized. This is most notable in the sexual violence, harassment, and intimate partner violence sections. We recommend you work with a research expert to further explore the data to answer all your institution's questions. </a:t>
          </a:r>
        </a:p>
        <a:p>
          <a:pPr marL="0" marR="0">
            <a:spcAft>
              <a:spcPts val="500"/>
            </a:spcAft>
          </a:pPr>
          <a:endParaRPr lang="en-US" sz="900" b="0" i="1" kern="1200" baseline="0">
            <a:solidFill>
              <a:schemeClr val="tx1"/>
            </a:solidFill>
            <a:effectLst/>
            <a:latin typeface="+mn-lt"/>
            <a:ea typeface="Times New Roman"/>
            <a:cs typeface="Times New Roman"/>
          </a:endParaRPr>
        </a:p>
        <a:p>
          <a:pPr marL="0" marR="0">
            <a:spcAft>
              <a:spcPts val="1000"/>
            </a:spcAft>
          </a:pPr>
          <a:endParaRPr lang="en-US" sz="900" b="0" i="1" kern="1200" baseline="0">
            <a:solidFill>
              <a:schemeClr val="tx1"/>
            </a:solidFill>
            <a:effectLst/>
            <a:latin typeface="+mn-lt"/>
            <a:ea typeface="Times New Roman"/>
            <a:cs typeface="Times New Roman"/>
          </a:endParaRPr>
        </a:p>
      </xdr:txBody>
    </xdr:sp>
    <xdr:clientData/>
  </xdr:twoCellAnchor>
  <xdr:twoCellAnchor>
    <xdr:from>
      <xdr:col>2</xdr:col>
      <xdr:colOff>280712</xdr:colOff>
      <xdr:row>6</xdr:row>
      <xdr:rowOff>21714</xdr:rowOff>
    </xdr:from>
    <xdr:to>
      <xdr:col>2</xdr:col>
      <xdr:colOff>646472</xdr:colOff>
      <xdr:row>6</xdr:row>
      <xdr:rowOff>370513</xdr:rowOff>
    </xdr:to>
    <xdr:pic>
      <xdr:nvPicPr>
        <xdr:cNvPr id="44" name="Picture 6" descr="Person_Student_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09537" y="1831464"/>
          <a:ext cx="365760" cy="348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280712</xdr:colOff>
      <xdr:row>17</xdr:row>
      <xdr:rowOff>190170</xdr:rowOff>
    </xdr:from>
    <xdr:to>
      <xdr:col>2</xdr:col>
      <xdr:colOff>646472</xdr:colOff>
      <xdr:row>18</xdr:row>
      <xdr:rowOff>367731</xdr:rowOff>
    </xdr:to>
    <xdr:pic>
      <xdr:nvPicPr>
        <xdr:cNvPr id="45" name="Picture 7" descr="Calenda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9537" y="5467020"/>
          <a:ext cx="365760" cy="368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12</xdr:col>
      <xdr:colOff>757900</xdr:colOff>
      <xdr:row>3</xdr:row>
      <xdr:rowOff>5</xdr:rowOff>
    </xdr:from>
    <xdr:to>
      <xdr:col>13</xdr:col>
      <xdr:colOff>6775</xdr:colOff>
      <xdr:row>3</xdr:row>
      <xdr:rowOff>187272</xdr:rowOff>
    </xdr:to>
    <xdr:grpSp>
      <xdr:nvGrpSpPr>
        <xdr:cNvPr id="56" name="Group 55"/>
        <xdr:cNvGrpSpPr/>
      </xdr:nvGrpSpPr>
      <xdr:grpSpPr bwMode="gray">
        <a:xfrm>
          <a:off x="13320317" y="1238255"/>
          <a:ext cx="254291" cy="187267"/>
          <a:chOff x="3003586" y="2661522"/>
          <a:chExt cx="271672" cy="181522"/>
        </a:xfrm>
      </xdr:grpSpPr>
      <xdr:sp macro="" textlink="">
        <xdr:nvSpPr>
          <xdr:cNvPr id="57" name="Rectangle 56"/>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8" name="Round Same Side Corner Rectangle 57"/>
          <xdr:cNvSpPr/>
        </xdr:nvSpPr>
        <xdr:spPr bwMode="gray">
          <a:xfrm rot="10800000">
            <a:off x="3003586" y="2661522"/>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59" name="Freeform 58"/>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xdr:from>
      <xdr:col>9</xdr:col>
      <xdr:colOff>701867</xdr:colOff>
      <xdr:row>25</xdr:row>
      <xdr:rowOff>115248</xdr:rowOff>
    </xdr:from>
    <xdr:to>
      <xdr:col>11</xdr:col>
      <xdr:colOff>397703</xdr:colOff>
      <xdr:row>27</xdr:row>
      <xdr:rowOff>60070</xdr:rowOff>
    </xdr:to>
    <xdr:pic>
      <xdr:nvPicPr>
        <xdr:cNvPr id="60" name="Picture 59">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988867" y="7327034"/>
          <a:ext cx="1192622" cy="325822"/>
        </a:xfrm>
        <a:prstGeom prst="rect">
          <a:avLst/>
        </a:prstGeom>
        <a:noFill/>
        <a:ln>
          <a:noFill/>
        </a:ln>
      </xdr:spPr>
    </xdr:pic>
    <xdr:clientData/>
  </xdr:twoCellAnchor>
  <xdr:twoCellAnchor>
    <xdr:from>
      <xdr:col>11</xdr:col>
      <xdr:colOff>578043</xdr:colOff>
      <xdr:row>25</xdr:row>
      <xdr:rowOff>115248</xdr:rowOff>
    </xdr:from>
    <xdr:to>
      <xdr:col>13</xdr:col>
      <xdr:colOff>23721</xdr:colOff>
      <xdr:row>27</xdr:row>
      <xdr:rowOff>60070</xdr:rowOff>
    </xdr:to>
    <xdr:pic>
      <xdr:nvPicPr>
        <xdr:cNvPr id="61" name="Picture 60">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361829" y="7327034"/>
          <a:ext cx="1200999" cy="325822"/>
        </a:xfrm>
        <a:prstGeom prst="rect">
          <a:avLst/>
        </a:prstGeom>
        <a:noFill/>
        <a:ln>
          <a:noFill/>
        </a:ln>
      </xdr:spPr>
    </xdr:pic>
    <xdr:clientData/>
  </xdr:twoCellAnchor>
  <xdr:twoCellAnchor editAs="oneCell">
    <xdr:from>
      <xdr:col>2</xdr:col>
      <xdr:colOff>280696</xdr:colOff>
      <xdr:row>14</xdr:row>
      <xdr:rowOff>28575</xdr:rowOff>
    </xdr:from>
    <xdr:to>
      <xdr:col>2</xdr:col>
      <xdr:colOff>646488</xdr:colOff>
      <xdr:row>14</xdr:row>
      <xdr:rowOff>345594</xdr:rowOff>
    </xdr:to>
    <xdr:pic>
      <xdr:nvPicPr>
        <xdr:cNvPr id="4" name="Picture 3"/>
        <xdr:cNvPicPr>
          <a:picLocks noChangeAspect="1"/>
        </xdr:cNvPicPr>
      </xdr:nvPicPr>
      <xdr:blipFill>
        <a:blip xmlns:r="http://schemas.openxmlformats.org/officeDocument/2006/relationships" r:embed="rId8"/>
        <a:stretch>
          <a:fillRect/>
        </a:stretch>
      </xdr:blipFill>
      <xdr:spPr>
        <a:xfrm>
          <a:off x="2309521" y="4295775"/>
          <a:ext cx="365792" cy="317019"/>
        </a:xfrm>
        <a:prstGeom prst="rect">
          <a:avLst/>
        </a:prstGeom>
      </xdr:spPr>
    </xdr:pic>
    <xdr:clientData/>
  </xdr:twoCellAnchor>
  <xdr:twoCellAnchor>
    <xdr:from>
      <xdr:col>0</xdr:col>
      <xdr:colOff>0</xdr:colOff>
      <xdr:row>2</xdr:row>
      <xdr:rowOff>0</xdr:rowOff>
    </xdr:from>
    <xdr:to>
      <xdr:col>1</xdr:col>
      <xdr:colOff>30079</xdr:colOff>
      <xdr:row>20</xdr:row>
      <xdr:rowOff>298104</xdr:rowOff>
    </xdr:to>
    <xdr:grpSp>
      <xdr:nvGrpSpPr>
        <xdr:cNvPr id="30" name="Group 29"/>
        <xdr:cNvGrpSpPr/>
      </xdr:nvGrpSpPr>
      <xdr:grpSpPr>
        <a:xfrm>
          <a:off x="0" y="1047750"/>
          <a:ext cx="1786912" cy="5431021"/>
          <a:chOff x="0" y="1052763"/>
          <a:chExt cx="1784684" cy="5387175"/>
        </a:xfrm>
      </xdr:grpSpPr>
      <xdr:sp macro="" textlink="">
        <xdr:nvSpPr>
          <xdr:cNvPr id="31" name="TextBox 30"/>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32" name="TextBox 31">
            <a:hlinkClick xmlns:r="http://schemas.openxmlformats.org/officeDocument/2006/relationships" r:id="rId4"/>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33" name="TextBox 32">
            <a:hlinkClick xmlns:r="http://schemas.openxmlformats.org/officeDocument/2006/relationships" r:id="rId6"/>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34" name="TextBox 33">
            <a:hlinkClick xmlns:r="http://schemas.openxmlformats.org/officeDocument/2006/relationships" r:id="rId9"/>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35" name="TextBox 34">
            <a:hlinkClick xmlns:r="http://schemas.openxmlformats.org/officeDocument/2006/relationships" r:id="rId10"/>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36" name="TextBox 35">
            <a:hlinkClick xmlns:r="http://schemas.openxmlformats.org/officeDocument/2006/relationships" r:id="rId11"/>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37" name="TextBox 36">
            <a:hlinkClick xmlns:r="http://schemas.openxmlformats.org/officeDocument/2006/relationships" r:id="rId12"/>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38" name="TextBox 37">
            <a:hlinkClick xmlns:r="http://schemas.openxmlformats.org/officeDocument/2006/relationships" r:id="rId13"/>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46" name="TextBox 45">
            <a:hlinkClick xmlns:r="http://schemas.openxmlformats.org/officeDocument/2006/relationships" r:id="rId14"/>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64" name="TextBox 63">
            <a:hlinkClick xmlns:r="http://schemas.openxmlformats.org/officeDocument/2006/relationships" r:id="rId15"/>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65" name="TextBox 64">
            <a:hlinkClick xmlns:r="http://schemas.openxmlformats.org/officeDocument/2006/relationships" r:id="rId16"/>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66" name="TextBox 65">
            <a:hlinkClick xmlns:r="http://schemas.openxmlformats.org/officeDocument/2006/relationships" r:id="rId17"/>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67" name="TextBox 66">
            <a:hlinkClick xmlns:r="http://schemas.openxmlformats.org/officeDocument/2006/relationships" r:id="rId18"/>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68" name="TextBox 67">
            <a:hlinkClick xmlns:r="http://schemas.openxmlformats.org/officeDocument/2006/relationships" r:id="rId19"/>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33946" cy="548640"/>
        </a:xfrm>
        <a:prstGeom prst="rect">
          <a:avLst/>
        </a:prstGeom>
      </xdr:spPr>
    </xdr:pic>
    <xdr:clientData/>
  </xdr:twoCellAnchor>
  <xdr:twoCellAnchor>
    <xdr:from>
      <xdr:col>4</xdr:col>
      <xdr:colOff>179441</xdr:colOff>
      <xdr:row>18</xdr:row>
      <xdr:rowOff>43376</xdr:rowOff>
    </xdr:from>
    <xdr:to>
      <xdr:col>14</xdr:col>
      <xdr:colOff>26600</xdr:colOff>
      <xdr:row>34</xdr:row>
      <xdr:rowOff>125324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xdr:row>
      <xdr:rowOff>0</xdr:rowOff>
    </xdr:from>
    <xdr:to>
      <xdr:col>3</xdr:col>
      <xdr:colOff>742950</xdr:colOff>
      <xdr:row>13</xdr:row>
      <xdr:rowOff>19050</xdr:rowOff>
    </xdr:to>
    <xdr:sp macro="" textlink="">
      <xdr:nvSpPr>
        <xdr:cNvPr id="26" name="Line Callout 2 (No Border) 86"/>
        <xdr:cNvSpPr/>
      </xdr:nvSpPr>
      <xdr:spPr bwMode="gray">
        <a:xfrm>
          <a:off x="2035342" y="1243263"/>
          <a:ext cx="2607845" cy="2024313"/>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The</a:t>
          </a:r>
          <a:r>
            <a:rPr lang="en-US" sz="900" baseline="0">
              <a:solidFill>
                <a:schemeClr val="tx1"/>
              </a:solidFill>
              <a:effectLst/>
              <a:ea typeface="Times New Roman"/>
            </a:rPr>
            <a:t> majority of survey respondents were white, heterosexual, and female.</a:t>
          </a: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Most respondents were in their first, second, third, or fourth year of school.</a:t>
          </a: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Almost all respondents either live in an off-campus apartment or house or at home with family.</a:t>
          </a:r>
        </a:p>
      </xdr:txBody>
    </xdr:sp>
    <xdr:clientData/>
  </xdr:twoCellAnchor>
  <xdr:twoCellAnchor>
    <xdr:from>
      <xdr:col>3</xdr:col>
      <xdr:colOff>466456</xdr:colOff>
      <xdr:row>3</xdr:row>
      <xdr:rowOff>0</xdr:rowOff>
    </xdr:from>
    <xdr:to>
      <xdr:col>3</xdr:col>
      <xdr:colOff>742950</xdr:colOff>
      <xdr:row>3</xdr:row>
      <xdr:rowOff>180010</xdr:rowOff>
    </xdr:to>
    <xdr:grpSp>
      <xdr:nvGrpSpPr>
        <xdr:cNvPr id="20" name="Group 19"/>
        <xdr:cNvGrpSpPr/>
      </xdr:nvGrpSpPr>
      <xdr:grpSpPr bwMode="gray">
        <a:xfrm>
          <a:off x="4361123" y="1238250"/>
          <a:ext cx="276494" cy="180010"/>
          <a:chOff x="5569224" y="1247744"/>
          <a:chExt cx="271672" cy="181522"/>
        </a:xfrm>
      </xdr:grpSpPr>
      <xdr:sp macro="" textlink="">
        <xdr:nvSpPr>
          <xdr:cNvPr id="21" name="Rectangle 20"/>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22" name="Round Same Side Corner Rectangle 21"/>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23" name="Group 22"/>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24" name="Freeform 23"/>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25" name="Freeform 24"/>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12</xdr:col>
      <xdr:colOff>601579</xdr:colOff>
      <xdr:row>35</xdr:row>
      <xdr:rowOff>127830</xdr:rowOff>
    </xdr:from>
    <xdr:to>
      <xdr:col>13</xdr:col>
      <xdr:colOff>1049388</xdr:colOff>
      <xdr:row>38</xdr:row>
      <xdr:rowOff>30040</xdr:rowOff>
    </xdr:to>
    <xdr:pic>
      <xdr:nvPicPr>
        <xdr:cNvPr id="45" name="Picture 44">
          <a:hlinkClick xmlns:r="http://schemas.openxmlformats.org/officeDocument/2006/relationships" r:id="rId3"/>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212429" y="7395405"/>
          <a:ext cx="1200284" cy="330835"/>
        </a:xfrm>
        <a:prstGeom prst="rect">
          <a:avLst/>
        </a:prstGeom>
        <a:noFill/>
        <a:ln>
          <a:noFill/>
        </a:ln>
      </xdr:spPr>
    </xdr:pic>
    <xdr:clientData/>
  </xdr:twoCellAnchor>
  <xdr:twoCellAnchor>
    <xdr:from>
      <xdr:col>13</xdr:col>
      <xdr:colOff>1229728</xdr:colOff>
      <xdr:row>35</xdr:row>
      <xdr:rowOff>127830</xdr:rowOff>
    </xdr:from>
    <xdr:to>
      <xdr:col>14</xdr:col>
      <xdr:colOff>13669</xdr:colOff>
      <xdr:row>38</xdr:row>
      <xdr:rowOff>30040</xdr:rowOff>
    </xdr:to>
    <xdr:pic>
      <xdr:nvPicPr>
        <xdr:cNvPr id="51" name="Picture 50">
          <a:hlinkClick xmlns:r="http://schemas.openxmlformats.org/officeDocument/2006/relationships" r:id="rId5"/>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593053" y="7395405"/>
          <a:ext cx="1203291" cy="330835"/>
        </a:xfrm>
        <a:prstGeom prst="rect">
          <a:avLst/>
        </a:prstGeom>
        <a:noFill/>
        <a:ln>
          <a:noFill/>
        </a:ln>
      </xdr:spPr>
    </xdr:pic>
    <xdr:clientData/>
  </xdr:twoCellAnchor>
  <xdr:twoCellAnchor>
    <xdr:from>
      <xdr:col>4</xdr:col>
      <xdr:colOff>179441</xdr:colOff>
      <xdr:row>3</xdr:row>
      <xdr:rowOff>0</xdr:rowOff>
    </xdr:from>
    <xdr:to>
      <xdr:col>14</xdr:col>
      <xdr:colOff>26349</xdr:colOff>
      <xdr:row>16</xdr:row>
      <xdr:rowOff>26499</xdr:rowOff>
    </xdr:to>
    <xdr:grpSp>
      <xdr:nvGrpSpPr>
        <xdr:cNvPr id="4" name="Group 3"/>
        <xdr:cNvGrpSpPr/>
      </xdr:nvGrpSpPr>
      <xdr:grpSpPr>
        <a:xfrm>
          <a:off x="4889024" y="1238250"/>
          <a:ext cx="9033242" cy="2809916"/>
          <a:chOff x="2028825" y="5257800"/>
          <a:chExt cx="9038533" cy="2798274"/>
        </a:xfrm>
      </xdr:grpSpPr>
      <xdr:graphicFrame macro="">
        <xdr:nvGraphicFramePr>
          <xdr:cNvPr id="64" name="Chart 63"/>
          <xdr:cNvGraphicFramePr>
            <a:graphicFrameLocks/>
          </xdr:cNvGraphicFramePr>
        </xdr:nvGraphicFramePr>
        <xdr:xfrm>
          <a:off x="2028825" y="5267826"/>
          <a:ext cx="4539460" cy="2788248"/>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65" name="Chart 64"/>
          <xdr:cNvGraphicFramePr>
            <a:graphicFrameLocks/>
          </xdr:cNvGraphicFramePr>
        </xdr:nvGraphicFramePr>
        <xdr:xfrm>
          <a:off x="6800166" y="5257800"/>
          <a:ext cx="4267192" cy="2788248"/>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0</xdr:col>
      <xdr:colOff>0</xdr:colOff>
      <xdr:row>2</xdr:row>
      <xdr:rowOff>0</xdr:rowOff>
    </xdr:from>
    <xdr:to>
      <xdr:col>1</xdr:col>
      <xdr:colOff>28567</xdr:colOff>
      <xdr:row>28</xdr:row>
      <xdr:rowOff>116675</xdr:rowOff>
    </xdr:to>
    <xdr:grpSp>
      <xdr:nvGrpSpPr>
        <xdr:cNvPr id="39" name="Group 38"/>
        <xdr:cNvGrpSpPr/>
      </xdr:nvGrpSpPr>
      <xdr:grpSpPr>
        <a:xfrm>
          <a:off x="0" y="1047750"/>
          <a:ext cx="1785400" cy="5387175"/>
          <a:chOff x="0" y="1052763"/>
          <a:chExt cx="1784684" cy="5387175"/>
        </a:xfrm>
      </xdr:grpSpPr>
      <xdr:sp macro="" textlink="">
        <xdr:nvSpPr>
          <xdr:cNvPr id="40" name="TextBox 39"/>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41" name="TextBox 40">
            <a:hlinkClick xmlns:r="http://schemas.openxmlformats.org/officeDocument/2006/relationships" r:id="rId9"/>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42" name="TextBox 41">
            <a:hlinkClick xmlns:r="http://schemas.openxmlformats.org/officeDocument/2006/relationships" r:id="rId10"/>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43" name="TextBox 42">
            <a:hlinkClick xmlns:r="http://schemas.openxmlformats.org/officeDocument/2006/relationships" r:id="rId11"/>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44" name="TextBox 43">
            <a:hlinkClick xmlns:r="http://schemas.openxmlformats.org/officeDocument/2006/relationships" r:id="rId12"/>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46" name="TextBox 45">
            <a:hlinkClick xmlns:r="http://schemas.openxmlformats.org/officeDocument/2006/relationships" r:id="rId13"/>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47" name="TextBox 46">
            <a:hlinkClick xmlns:r="http://schemas.openxmlformats.org/officeDocument/2006/relationships" r:id="rId14"/>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48" name="TextBox 47">
            <a:hlinkClick xmlns:r="http://schemas.openxmlformats.org/officeDocument/2006/relationships" r:id="rId15"/>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49" name="TextBox 48">
            <a:hlinkClick xmlns:r="http://schemas.openxmlformats.org/officeDocument/2006/relationships" r:id="rId5"/>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50" name="TextBox 49">
            <a:hlinkClick xmlns:r="http://schemas.openxmlformats.org/officeDocument/2006/relationships" r:id="rId3"/>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52" name="TextBox 51">
            <a:hlinkClick xmlns:r="http://schemas.openxmlformats.org/officeDocument/2006/relationships" r:id="rId16"/>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53" name="TextBox 52">
            <a:hlinkClick xmlns:r="http://schemas.openxmlformats.org/officeDocument/2006/relationships" r:id="rId17"/>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54" name="TextBox 53">
            <a:hlinkClick xmlns:r="http://schemas.openxmlformats.org/officeDocument/2006/relationships" r:id="rId18"/>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55" name="TextBox 54">
            <a:hlinkClick xmlns:r="http://schemas.openxmlformats.org/officeDocument/2006/relationships" r:id="rId19"/>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9</xdr:col>
      <xdr:colOff>647700</xdr:colOff>
      <xdr:row>29</xdr:row>
      <xdr:rowOff>123825</xdr:rowOff>
    </xdr:from>
    <xdr:to>
      <xdr:col>11</xdr:col>
      <xdr:colOff>343535</xdr:colOff>
      <xdr:row>32</xdr:row>
      <xdr:rowOff>26035</xdr:rowOff>
    </xdr:to>
    <xdr:pic>
      <xdr:nvPicPr>
        <xdr:cNvPr id="35" name="Picture 34">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72725" y="7391400"/>
          <a:ext cx="1200785" cy="330835"/>
        </a:xfrm>
        <a:prstGeom prst="rect">
          <a:avLst/>
        </a:prstGeom>
        <a:noFill/>
        <a:ln>
          <a:noFill/>
        </a:ln>
      </xdr:spPr>
    </xdr:pic>
    <xdr:clientData/>
  </xdr:twoCellAnchor>
  <xdr:twoCellAnchor>
    <xdr:from>
      <xdr:col>11</xdr:col>
      <xdr:colOff>523875</xdr:colOff>
      <xdr:row>29</xdr:row>
      <xdr:rowOff>123825</xdr:rowOff>
    </xdr:from>
    <xdr:to>
      <xdr:col>12</xdr:col>
      <xdr:colOff>972185</xdr:colOff>
      <xdr:row>32</xdr:row>
      <xdr:rowOff>26035</xdr:rowOff>
    </xdr:to>
    <xdr:pic>
      <xdr:nvPicPr>
        <xdr:cNvPr id="36" name="Picture 35">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53850" y="7391400"/>
          <a:ext cx="1200785" cy="330835"/>
        </a:xfrm>
        <a:prstGeom prst="rect">
          <a:avLst/>
        </a:prstGeom>
        <a:noFill/>
        <a:ln>
          <a:noFill/>
        </a:ln>
      </xdr:spPr>
    </xdr:pic>
    <xdr:clientData/>
  </xdr:twoCellAnchor>
  <xdr:twoCellAnchor>
    <xdr:from>
      <xdr:col>5</xdr:col>
      <xdr:colOff>38741</xdr:colOff>
      <xdr:row>16</xdr:row>
      <xdr:rowOff>285495</xdr:rowOff>
    </xdr:from>
    <xdr:to>
      <xdr:col>12</xdr:col>
      <xdr:colOff>689690</xdr:colOff>
      <xdr:row>29</xdr:row>
      <xdr:rowOff>4509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38741</xdr:colOff>
      <xdr:row>2</xdr:row>
      <xdr:rowOff>190245</xdr:rowOff>
    </xdr:from>
    <xdr:to>
      <xdr:col>12</xdr:col>
      <xdr:colOff>685108</xdr:colOff>
      <xdr:row>16</xdr:row>
      <xdr:rowOff>4509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4012</xdr:colOff>
      <xdr:row>2</xdr:row>
      <xdr:rowOff>180221</xdr:rowOff>
    </xdr:from>
    <xdr:to>
      <xdr:col>3</xdr:col>
      <xdr:colOff>32586</xdr:colOff>
      <xdr:row>12</xdr:row>
      <xdr:rowOff>130342</xdr:rowOff>
    </xdr:to>
    <xdr:sp macro="" textlink="">
      <xdr:nvSpPr>
        <xdr:cNvPr id="18" name="Line Callout 2 (No Border) 86"/>
        <xdr:cNvSpPr/>
      </xdr:nvSpPr>
      <xdr:spPr bwMode="gray">
        <a:xfrm>
          <a:off x="2039354" y="1232984"/>
          <a:ext cx="3307179" cy="1945358"/>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Most</a:t>
          </a:r>
          <a:r>
            <a:rPr lang="en-US" sz="900" baseline="0">
              <a:solidFill>
                <a:schemeClr val="tx1"/>
              </a:solidFill>
              <a:effectLst/>
              <a:ea typeface="Times New Roman"/>
            </a:rPr>
            <a:t> respondents have a positive perception </a:t>
          </a:r>
          <a:br>
            <a:rPr lang="en-US" sz="900" baseline="0">
              <a:solidFill>
                <a:schemeClr val="tx1"/>
              </a:solidFill>
              <a:effectLst/>
              <a:ea typeface="Times New Roman"/>
            </a:rPr>
          </a:br>
          <a:r>
            <a:rPr lang="en-US" sz="900" baseline="0">
              <a:solidFill>
                <a:schemeClr val="tx1"/>
              </a:solidFill>
              <a:effectLst/>
              <a:ea typeface="Times New Roman"/>
            </a:rPr>
            <a:t>of the campus climate.</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Over a third</a:t>
          </a:r>
          <a:r>
            <a:rPr lang="en-US" sz="900" baseline="0">
              <a:solidFill>
                <a:schemeClr val="tx1"/>
              </a:solidFill>
              <a:effectLst/>
              <a:ea typeface="Times New Roman"/>
            </a:rPr>
            <a:t> </a:t>
          </a:r>
          <a:r>
            <a:rPr lang="en-US" sz="900">
              <a:solidFill>
                <a:schemeClr val="tx1"/>
              </a:solidFill>
              <a:effectLst/>
              <a:ea typeface="Times New Roman"/>
            </a:rPr>
            <a:t>of</a:t>
          </a:r>
          <a:r>
            <a:rPr lang="en-US" sz="900" baseline="0">
              <a:solidFill>
                <a:schemeClr val="tx1"/>
              </a:solidFill>
              <a:effectLst/>
              <a:ea typeface="Times New Roman"/>
            </a:rPr>
            <a:t> survey respondents had someone make sexist remarks or jokes in </a:t>
          </a:r>
          <a:br>
            <a:rPr lang="en-US" sz="900" baseline="0">
              <a:solidFill>
                <a:schemeClr val="tx1"/>
              </a:solidFill>
              <a:effectLst/>
              <a:ea typeface="Times New Roman"/>
            </a:rPr>
          </a:br>
          <a:r>
            <a:rPr lang="en-US" sz="900" baseline="0">
              <a:solidFill>
                <a:schemeClr val="tx1"/>
              </a:solidFill>
              <a:effectLst/>
              <a:ea typeface="Times New Roman"/>
            </a:rPr>
            <a:t>their presence.</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Over a third of respondents indicated that a student making a report would experience retaliation.</a:t>
          </a:r>
        </a:p>
      </xdr:txBody>
    </xdr:sp>
    <xdr:clientData/>
  </xdr:twoCellAnchor>
  <xdr:twoCellAnchor>
    <xdr:from>
      <xdr:col>2</xdr:col>
      <xdr:colOff>3039519</xdr:colOff>
      <xdr:row>2</xdr:row>
      <xdr:rowOff>180221</xdr:rowOff>
    </xdr:from>
    <xdr:to>
      <xdr:col>3</xdr:col>
      <xdr:colOff>32586</xdr:colOff>
      <xdr:row>3</xdr:row>
      <xdr:rowOff>171744</xdr:rowOff>
    </xdr:to>
    <xdr:grpSp>
      <xdr:nvGrpSpPr>
        <xdr:cNvPr id="42" name="Group 41"/>
        <xdr:cNvGrpSpPr/>
      </xdr:nvGrpSpPr>
      <xdr:grpSpPr bwMode="gray">
        <a:xfrm>
          <a:off x="5071519" y="1227971"/>
          <a:ext cx="273900" cy="182023"/>
          <a:chOff x="5569224" y="1247744"/>
          <a:chExt cx="271672" cy="181522"/>
        </a:xfrm>
      </xdr:grpSpPr>
      <xdr:sp macro="" textlink="">
        <xdr:nvSpPr>
          <xdr:cNvPr id="43" name="Rectangle 42"/>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44" name="Round Same Side Corner Rectangle 43"/>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45" name="Group 44"/>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46" name="Freeform 45"/>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47" name="Freeform 46"/>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0</xdr:col>
      <xdr:colOff>0</xdr:colOff>
      <xdr:row>2</xdr:row>
      <xdr:rowOff>0</xdr:rowOff>
    </xdr:from>
    <xdr:to>
      <xdr:col>1</xdr:col>
      <xdr:colOff>28567</xdr:colOff>
      <xdr:row>23</xdr:row>
      <xdr:rowOff>116675</xdr:rowOff>
    </xdr:to>
    <xdr:grpSp>
      <xdr:nvGrpSpPr>
        <xdr:cNvPr id="33" name="Group 32"/>
        <xdr:cNvGrpSpPr/>
      </xdr:nvGrpSpPr>
      <xdr:grpSpPr>
        <a:xfrm>
          <a:off x="0" y="1047750"/>
          <a:ext cx="1785400" cy="5387175"/>
          <a:chOff x="0" y="1052763"/>
          <a:chExt cx="1784684" cy="5387175"/>
        </a:xfrm>
      </xdr:grpSpPr>
      <xdr:sp macro="" textlink="">
        <xdr:nvSpPr>
          <xdr:cNvPr id="34" name="TextBox 33"/>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37" name="TextBox 36">
            <a:hlinkClick xmlns:r="http://schemas.openxmlformats.org/officeDocument/2006/relationships" r:id="rId8"/>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38" name="TextBox 37">
            <a:hlinkClick xmlns:r="http://schemas.openxmlformats.org/officeDocument/2006/relationships" r:id="rId2"/>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39" name="TextBox 38">
            <a:hlinkClick xmlns:r="http://schemas.openxmlformats.org/officeDocument/2006/relationships" r:id="rId4"/>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40" name="TextBox 39">
            <a:hlinkClick xmlns:r="http://schemas.openxmlformats.org/officeDocument/2006/relationships" r:id="rId9"/>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41" name="TextBox 40">
            <a:hlinkClick xmlns:r="http://schemas.openxmlformats.org/officeDocument/2006/relationships" r:id="rId10"/>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48" name="TextBox 47">
            <a:hlinkClick xmlns:r="http://schemas.openxmlformats.org/officeDocument/2006/relationships" r:id="rId11"/>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49" name="TextBox 48">
            <a:hlinkClick xmlns:r="http://schemas.openxmlformats.org/officeDocument/2006/relationships" r:id="rId12"/>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50" name="TextBox 49">
            <a:hlinkClick xmlns:r="http://schemas.openxmlformats.org/officeDocument/2006/relationships" r:id="rId13"/>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51" name="TextBox 50">
            <a:hlinkClick xmlns:r="http://schemas.openxmlformats.org/officeDocument/2006/relationships" r:id="rId14"/>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52" name="TextBox 51">
            <a:hlinkClick xmlns:r="http://schemas.openxmlformats.org/officeDocument/2006/relationships" r:id="rId15"/>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53" name="TextBox 52">
            <a:hlinkClick xmlns:r="http://schemas.openxmlformats.org/officeDocument/2006/relationships" r:id="rId16"/>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54" name="TextBox 53">
            <a:hlinkClick xmlns:r="http://schemas.openxmlformats.org/officeDocument/2006/relationships" r:id="rId17"/>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55" name="TextBox 54">
            <a:hlinkClick xmlns:r="http://schemas.openxmlformats.org/officeDocument/2006/relationships" r:id="rId18"/>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110290</xdr:colOff>
      <xdr:row>4</xdr:row>
      <xdr:rowOff>20036</xdr:rowOff>
    </xdr:from>
    <xdr:to>
      <xdr:col>11</xdr:col>
      <xdr:colOff>200515</xdr:colOff>
      <xdr:row>14</xdr:row>
      <xdr:rowOff>56452</xdr:rowOff>
    </xdr:to>
    <xdr:sp macro="" textlink="">
      <xdr:nvSpPr>
        <xdr:cNvPr id="35" name="Line Callout 2 (No Border) 86"/>
        <xdr:cNvSpPr/>
      </xdr:nvSpPr>
      <xdr:spPr bwMode="gray">
        <a:xfrm>
          <a:off x="10998869" y="1503931"/>
          <a:ext cx="2125567" cy="2843784"/>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latin typeface="+mn-lt"/>
              <a:ea typeface="Times New Roman"/>
              <a:cs typeface="Times New Roman"/>
            </a:rPr>
            <a:t>Interpreting</a:t>
          </a:r>
          <a:r>
            <a:rPr lang="en-US" sz="900" b="1" kern="1200" baseline="0">
              <a:solidFill>
                <a:schemeClr val="tx1"/>
              </a:solidFill>
              <a:effectLst/>
              <a:latin typeface="+mn-lt"/>
              <a:ea typeface="Times New Roman"/>
              <a:cs typeface="Times New Roman"/>
            </a:rPr>
            <a:t> This Chart</a:t>
          </a:r>
          <a:endParaRPr lang="en-US" sz="1200" b="0" kern="0">
            <a:solidFill>
              <a:schemeClr val="tx1"/>
            </a:solidFill>
            <a:effectLst/>
            <a:latin typeface="Times New Roman"/>
            <a:ea typeface="Times New Roman"/>
            <a:cs typeface="+mn-cs"/>
          </a:endParaRP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Students were asked if they received information and training in any of the following areas:</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Understanding the definition of sexual violence</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Reporting an incident</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The school's procedures for investigation</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Accessing resources</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Sexual violence prevention strategies</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Bystander intervention</a:t>
          </a:r>
        </a:p>
      </xdr:txBody>
    </xdr:sp>
    <xdr:clientData/>
  </xdr:twoCellAnchor>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2</xdr:col>
      <xdr:colOff>5187</xdr:colOff>
      <xdr:row>2</xdr:row>
      <xdr:rowOff>189995</xdr:rowOff>
    </xdr:from>
    <xdr:to>
      <xdr:col>2</xdr:col>
      <xdr:colOff>3659591</xdr:colOff>
      <xdr:row>9</xdr:row>
      <xdr:rowOff>10583</xdr:rowOff>
    </xdr:to>
    <xdr:sp macro="" textlink="">
      <xdr:nvSpPr>
        <xdr:cNvPr id="31" name="Line Callout 2 (No Border) 86"/>
        <xdr:cNvSpPr/>
      </xdr:nvSpPr>
      <xdr:spPr bwMode="gray">
        <a:xfrm>
          <a:off x="2037187" y="1237745"/>
          <a:ext cx="3654404" cy="1630338"/>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Less than half of respondents received prevention training across all years. </a:t>
          </a:r>
        </a:p>
        <a:p>
          <a:pPr marL="128016" marR="0" lvl="0" indent="-128016">
            <a:spcBef>
              <a:spcPts val="500"/>
            </a:spcBef>
            <a:spcAft>
              <a:spcPts val="0"/>
            </a:spcAft>
            <a:buSzPts val="800"/>
            <a:buFont typeface="Verdana"/>
            <a:buChar char="•"/>
          </a:pPr>
          <a:r>
            <a:rPr lang="en-US" sz="900">
              <a:solidFill>
                <a:schemeClr val="tx1"/>
              </a:solidFill>
              <a:effectLst/>
              <a:ea typeface="Times New Roman"/>
            </a:rPr>
            <a:t>Most respondents who received training thought it was useful</a:t>
          </a:r>
          <a:r>
            <a:rPr lang="en-US" sz="900" baseline="0">
              <a:solidFill>
                <a:schemeClr val="tx1"/>
              </a:solidFill>
              <a:effectLst/>
              <a:ea typeface="Times New Roman"/>
            </a:rPr>
            <a:t> in increasing their knowledge.</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Under half of respondents understand what the school would do to address a sexual violence complaint. </a:t>
          </a:r>
        </a:p>
        <a:p>
          <a:pPr marL="128016" marR="0" lvl="0" indent="-128016">
            <a:spcBef>
              <a:spcPts val="500"/>
            </a:spcBef>
            <a:spcAft>
              <a:spcPts val="0"/>
            </a:spcAft>
            <a:buSzPts val="800"/>
            <a:buFont typeface="Verdana"/>
            <a:buChar char="•"/>
          </a:pPr>
          <a:endParaRPr lang="en-US" sz="900">
            <a:solidFill>
              <a:schemeClr val="tx1"/>
            </a:solidFill>
            <a:effectLst/>
            <a:ea typeface="Times New Roman"/>
          </a:endParaRPr>
        </a:p>
      </xdr:txBody>
    </xdr:sp>
    <xdr:clientData/>
  </xdr:twoCellAnchor>
  <xdr:twoCellAnchor>
    <xdr:from>
      <xdr:col>5</xdr:col>
      <xdr:colOff>4924</xdr:colOff>
      <xdr:row>14</xdr:row>
      <xdr:rowOff>181986</xdr:rowOff>
    </xdr:from>
    <xdr:to>
      <xdr:col>11</xdr:col>
      <xdr:colOff>205674</xdr:colOff>
      <xdr:row>34</xdr:row>
      <xdr:rowOff>119799</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396175</xdr:colOff>
      <xdr:row>4</xdr:row>
      <xdr:rowOff>30063</xdr:rowOff>
    </xdr:from>
    <xdr:to>
      <xdr:col>8</xdr:col>
      <xdr:colOff>315041</xdr:colOff>
      <xdr:row>14</xdr:row>
      <xdr:rowOff>68198</xdr:rowOff>
    </xdr:to>
    <xdr:graphicFrame macro="">
      <xdr:nvGraphicFramePr>
        <xdr:cNvPr id="77" name="Chart 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1571604</xdr:colOff>
      <xdr:row>4</xdr:row>
      <xdr:rowOff>20036</xdr:rowOff>
    </xdr:from>
    <xdr:to>
      <xdr:col>11</xdr:col>
      <xdr:colOff>200515</xdr:colOff>
      <xdr:row>4</xdr:row>
      <xdr:rowOff>221370</xdr:rowOff>
    </xdr:to>
    <xdr:grpSp>
      <xdr:nvGrpSpPr>
        <xdr:cNvPr id="56" name="Group 55"/>
        <xdr:cNvGrpSpPr/>
      </xdr:nvGrpSpPr>
      <xdr:grpSpPr bwMode="gray">
        <a:xfrm>
          <a:off x="12959271" y="1501703"/>
          <a:ext cx="258744" cy="201334"/>
          <a:chOff x="3003586" y="2652010"/>
          <a:chExt cx="271672" cy="191034"/>
        </a:xfrm>
      </xdr:grpSpPr>
      <xdr:sp macro="" textlink="">
        <xdr:nvSpPr>
          <xdr:cNvPr id="74" name="Rectangle 73"/>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75" name="Round Same Side Corner Rectangle 74"/>
          <xdr:cNvSpPr/>
        </xdr:nvSpPr>
        <xdr:spPr bwMode="gray">
          <a:xfrm rot="10800000">
            <a:off x="3003586" y="2652010"/>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76" name="Freeform 75"/>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xdr:from>
      <xdr:col>2</xdr:col>
      <xdr:colOff>3383097</xdr:colOff>
      <xdr:row>2</xdr:row>
      <xdr:rowOff>189995</xdr:rowOff>
    </xdr:from>
    <xdr:to>
      <xdr:col>2</xdr:col>
      <xdr:colOff>3659591</xdr:colOff>
      <xdr:row>3</xdr:row>
      <xdr:rowOff>179505</xdr:rowOff>
    </xdr:to>
    <xdr:grpSp>
      <xdr:nvGrpSpPr>
        <xdr:cNvPr id="38" name="Group 37"/>
        <xdr:cNvGrpSpPr/>
      </xdr:nvGrpSpPr>
      <xdr:grpSpPr bwMode="gray">
        <a:xfrm>
          <a:off x="5415097" y="1237745"/>
          <a:ext cx="276494" cy="180010"/>
          <a:chOff x="5569224" y="1247744"/>
          <a:chExt cx="271672" cy="181522"/>
        </a:xfrm>
      </xdr:grpSpPr>
      <xdr:sp macro="" textlink="">
        <xdr:nvSpPr>
          <xdr:cNvPr id="39" name="Rectangle 38"/>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40" name="Round Same Side Corner Rectangle 39"/>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41" name="Group 40"/>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42" name="Freeform 41"/>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43" name="Freeform 42"/>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8</xdr:col>
      <xdr:colOff>0</xdr:colOff>
      <xdr:row>38</xdr:row>
      <xdr:rowOff>0</xdr:rowOff>
    </xdr:from>
    <xdr:to>
      <xdr:col>10</xdr:col>
      <xdr:colOff>468864</xdr:colOff>
      <xdr:row>40</xdr:row>
      <xdr:rowOff>50098</xdr:rowOff>
    </xdr:to>
    <xdr:pic>
      <xdr:nvPicPr>
        <xdr:cNvPr id="37" name="Picture 36">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547684" y="8662737"/>
          <a:ext cx="1200785" cy="330835"/>
        </a:xfrm>
        <a:prstGeom prst="rect">
          <a:avLst/>
        </a:prstGeom>
        <a:noFill/>
        <a:ln>
          <a:noFill/>
        </a:ln>
      </xdr:spPr>
    </xdr:pic>
    <xdr:clientData/>
  </xdr:twoCellAnchor>
  <xdr:twoCellAnchor>
    <xdr:from>
      <xdr:col>10</xdr:col>
      <xdr:colOff>649204</xdr:colOff>
      <xdr:row>38</xdr:row>
      <xdr:rowOff>0</xdr:rowOff>
    </xdr:from>
    <xdr:to>
      <xdr:col>11</xdr:col>
      <xdr:colOff>225726</xdr:colOff>
      <xdr:row>40</xdr:row>
      <xdr:rowOff>50098</xdr:rowOff>
    </xdr:to>
    <xdr:pic>
      <xdr:nvPicPr>
        <xdr:cNvPr id="44" name="Picture 43">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928809" y="8662737"/>
          <a:ext cx="1200785" cy="330835"/>
        </a:xfrm>
        <a:prstGeom prst="rect">
          <a:avLst/>
        </a:prstGeom>
        <a:noFill/>
        <a:ln>
          <a:noFill/>
        </a:ln>
      </xdr:spPr>
    </xdr:pic>
    <xdr:clientData/>
  </xdr:twoCellAnchor>
  <xdr:twoCellAnchor>
    <xdr:from>
      <xdr:col>0</xdr:col>
      <xdr:colOff>0</xdr:colOff>
      <xdr:row>2</xdr:row>
      <xdr:rowOff>0</xdr:rowOff>
    </xdr:from>
    <xdr:to>
      <xdr:col>1</xdr:col>
      <xdr:colOff>28567</xdr:colOff>
      <xdr:row>21</xdr:row>
      <xdr:rowOff>116675</xdr:rowOff>
    </xdr:to>
    <xdr:grpSp>
      <xdr:nvGrpSpPr>
        <xdr:cNvPr id="45" name="Group 44"/>
        <xdr:cNvGrpSpPr/>
      </xdr:nvGrpSpPr>
      <xdr:grpSpPr>
        <a:xfrm>
          <a:off x="0" y="1047750"/>
          <a:ext cx="1785400" cy="5810508"/>
          <a:chOff x="0" y="1052763"/>
          <a:chExt cx="1784684" cy="5387175"/>
        </a:xfrm>
      </xdr:grpSpPr>
      <xdr:sp macro="" textlink="">
        <xdr:nvSpPr>
          <xdr:cNvPr id="46" name="TextBox 45"/>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47" name="TextBox 46">
            <a:hlinkClick xmlns:r="http://schemas.openxmlformats.org/officeDocument/2006/relationships" r:id="rId8"/>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48" name="TextBox 47">
            <a:hlinkClick xmlns:r="http://schemas.openxmlformats.org/officeDocument/2006/relationships" r:id="rId9"/>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49" name="TextBox 48">
            <a:hlinkClick xmlns:r="http://schemas.openxmlformats.org/officeDocument/2006/relationships" r:id="rId10"/>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50" name="TextBox 49">
            <a:hlinkClick xmlns:r="http://schemas.openxmlformats.org/officeDocument/2006/relationships" r:id="rId6"/>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51" name="TextBox 50">
            <a:hlinkClick xmlns:r="http://schemas.openxmlformats.org/officeDocument/2006/relationships" r:id="rId11"/>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52" name="TextBox 51">
            <a:hlinkClick xmlns:r="http://schemas.openxmlformats.org/officeDocument/2006/relationships" r:id="rId12"/>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54" name="TextBox 53">
            <a:hlinkClick xmlns:r="http://schemas.openxmlformats.org/officeDocument/2006/relationships" r:id="rId13"/>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55" name="TextBox 54">
            <a:hlinkClick xmlns:r="http://schemas.openxmlformats.org/officeDocument/2006/relationships" r:id="rId4"/>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57" name="TextBox 56">
            <a:hlinkClick xmlns:r="http://schemas.openxmlformats.org/officeDocument/2006/relationships" r:id="rId14"/>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58" name="TextBox 57">
            <a:hlinkClick xmlns:r="http://schemas.openxmlformats.org/officeDocument/2006/relationships" r:id="rId15"/>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59" name="TextBox 58">
            <a:hlinkClick xmlns:r="http://schemas.openxmlformats.org/officeDocument/2006/relationships" r:id="rId16"/>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60" name="TextBox 59">
            <a:hlinkClick xmlns:r="http://schemas.openxmlformats.org/officeDocument/2006/relationships" r:id="rId17"/>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61" name="TextBox 60">
            <a:hlinkClick xmlns:r="http://schemas.openxmlformats.org/officeDocument/2006/relationships" r:id="rId18"/>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2</xdr:col>
      <xdr:colOff>1506</xdr:colOff>
      <xdr:row>2</xdr:row>
      <xdr:rowOff>170446</xdr:rowOff>
    </xdr:from>
    <xdr:to>
      <xdr:col>2</xdr:col>
      <xdr:colOff>3168317</xdr:colOff>
      <xdr:row>14</xdr:row>
      <xdr:rowOff>100263</xdr:rowOff>
    </xdr:to>
    <xdr:sp macro="" textlink="">
      <xdr:nvSpPr>
        <xdr:cNvPr id="13" name="Line Callout 2 (No Border) 86"/>
        <xdr:cNvSpPr/>
      </xdr:nvSpPr>
      <xdr:spPr bwMode="gray">
        <a:xfrm>
          <a:off x="2036848" y="1223209"/>
          <a:ext cx="3166811" cy="2326107"/>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Respondents most commonly experienced someone fondling, kissing, or rubbing against the private areas of their body or removing some of their clothes. </a:t>
          </a:r>
        </a:p>
        <a:p>
          <a:pPr marL="128016" marR="0" lvl="0" indent="-128016">
            <a:spcBef>
              <a:spcPts val="500"/>
            </a:spcBef>
            <a:spcAft>
              <a:spcPts val="0"/>
            </a:spcAft>
            <a:buSzPts val="800"/>
            <a:buFont typeface="Verdana"/>
            <a:buChar char="•"/>
          </a:pPr>
          <a:r>
            <a:rPr lang="en-US" sz="900">
              <a:solidFill>
                <a:schemeClr val="tx1"/>
              </a:solidFill>
              <a:effectLst/>
              <a:ea typeface="Times New Roman"/>
            </a:rPr>
            <a:t>Four</a:t>
          </a:r>
          <a:r>
            <a:rPr lang="en-US" sz="900" baseline="0">
              <a:solidFill>
                <a:schemeClr val="tx1"/>
              </a:solidFill>
              <a:effectLst/>
              <a:ea typeface="Times New Roman"/>
            </a:rPr>
            <a:t> percent </a:t>
          </a:r>
          <a:r>
            <a:rPr lang="en-US" sz="900">
              <a:solidFill>
                <a:schemeClr val="tx1"/>
              </a:solidFill>
              <a:effectLst/>
              <a:ea typeface="Times New Roman"/>
            </a:rPr>
            <a:t>of respondents, or 58 respondents, experienced at least one incident of sexual misconduct at least one time since</a:t>
          </a:r>
          <a:r>
            <a:rPr lang="en-US" sz="900" baseline="0">
              <a:solidFill>
                <a:schemeClr val="tx1"/>
              </a:solidFill>
              <a:effectLst/>
              <a:ea typeface="Times New Roman"/>
            </a:rPr>
            <a:t> the beginning of the school year.</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Almost half </a:t>
          </a:r>
          <a:r>
            <a:rPr lang="en-US" sz="900" baseline="0">
              <a:solidFill>
                <a:schemeClr val="tx1"/>
              </a:solidFill>
              <a:effectLst/>
              <a:ea typeface="Times New Roman"/>
            </a:rPr>
            <a:t>of female respondents experienced unwanted sexual contact prior </a:t>
          </a:r>
          <a:br>
            <a:rPr lang="en-US" sz="900" baseline="0">
              <a:solidFill>
                <a:schemeClr val="tx1"/>
              </a:solidFill>
              <a:effectLst/>
              <a:ea typeface="Times New Roman"/>
            </a:rPr>
          </a:br>
          <a:r>
            <a:rPr lang="en-US" sz="900" baseline="0">
              <a:solidFill>
                <a:schemeClr val="tx1"/>
              </a:solidFill>
              <a:effectLst/>
              <a:ea typeface="Times New Roman"/>
            </a:rPr>
            <a:t>to college.</a:t>
          </a:r>
        </a:p>
      </xdr:txBody>
    </xdr:sp>
    <xdr:clientData/>
  </xdr:twoCellAnchor>
  <xdr:twoCellAnchor>
    <xdr:from>
      <xdr:col>3</xdr:col>
      <xdr:colOff>1523</xdr:colOff>
      <xdr:row>2</xdr:row>
      <xdr:rowOff>190498</xdr:rowOff>
    </xdr:from>
    <xdr:to>
      <xdr:col>12</xdr:col>
      <xdr:colOff>833825</xdr:colOff>
      <xdr:row>38</xdr:row>
      <xdr:rowOff>115257</xdr:rowOff>
    </xdr:to>
    <xdr:grpSp>
      <xdr:nvGrpSpPr>
        <xdr:cNvPr id="3" name="Group 2"/>
        <xdr:cNvGrpSpPr/>
      </xdr:nvGrpSpPr>
      <xdr:grpSpPr>
        <a:xfrm>
          <a:off x="5314356" y="1238248"/>
          <a:ext cx="8261802" cy="6391176"/>
          <a:chOff x="5366372" y="1243261"/>
          <a:chExt cx="8283088" cy="6199576"/>
        </a:xfrm>
      </xdr:grpSpPr>
      <xdr:graphicFrame macro="">
        <xdr:nvGraphicFramePr>
          <xdr:cNvPr id="7" name="Chart 6"/>
          <xdr:cNvGraphicFramePr/>
        </xdr:nvGraphicFramePr>
        <xdr:xfrm>
          <a:off x="5366372" y="4852541"/>
          <a:ext cx="5322470" cy="2590296"/>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24" name="Group 23"/>
          <xdr:cNvGrpSpPr/>
        </xdr:nvGrpSpPr>
        <xdr:grpSpPr>
          <a:xfrm>
            <a:off x="11178011" y="4818681"/>
            <a:ext cx="2438230" cy="1820966"/>
            <a:chOff x="6658145" y="4313747"/>
            <a:chExt cx="2438231" cy="1656264"/>
          </a:xfrm>
        </xdr:grpSpPr>
        <xdr:sp macro="" textlink="">
          <xdr:nvSpPr>
            <xdr:cNvPr id="8" name="Line Callout 2 (No Border) 86"/>
            <xdr:cNvSpPr/>
          </xdr:nvSpPr>
          <xdr:spPr bwMode="gray">
            <a:xfrm>
              <a:off x="6658145" y="4313747"/>
              <a:ext cx="2438231" cy="1656264"/>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Notes</a:t>
              </a:r>
              <a:endParaRPr lang="en-US" sz="1200" b="0" kern="0">
                <a:solidFill>
                  <a:schemeClr val="tx1"/>
                </a:solidFill>
                <a:effectLst/>
                <a:latin typeface="Times New Roman"/>
                <a:ea typeface="Times New Roman"/>
                <a:cs typeface="+mn-cs"/>
              </a:endParaRPr>
            </a:p>
            <a:p>
              <a:pPr marL="171450" marR="0" indent="-171450">
                <a:spcAft>
                  <a:spcPts val="1000"/>
                </a:spcAft>
                <a:buFont typeface="Arial" panose="020B0604020202020204" pitchFamily="34" charset="0"/>
                <a:buChar char="•"/>
              </a:pPr>
              <a:r>
                <a:rPr lang="en-US" sz="900" baseline="0">
                  <a:solidFill>
                    <a:schemeClr val="tx1"/>
                  </a:solidFill>
                  <a:effectLst/>
                  <a:ea typeface="Times New Roman"/>
                </a:rPr>
                <a:t>Respondents were not asked details about the unwanted contact prior to college.</a:t>
              </a:r>
            </a:p>
            <a:p>
              <a:pPr marL="171450" marR="0" indent="-171450">
                <a:spcAft>
                  <a:spcPts val="1000"/>
                </a:spcAft>
                <a:buFont typeface="Arial" panose="020B0604020202020204" pitchFamily="34" charset="0"/>
                <a:buChar char="•"/>
              </a:pPr>
              <a:r>
                <a:rPr lang="en-US" sz="900" baseline="0">
                  <a:solidFill>
                    <a:schemeClr val="tx1"/>
                  </a:solidFill>
                  <a:effectLst/>
                  <a:ea typeface="Times New Roman"/>
                </a:rPr>
                <a:t>Ensure that your institution's training and resources address this population of students who come to campus having already experienced sexual violence.</a:t>
              </a:r>
            </a:p>
          </xdr:txBody>
        </xdr:sp>
        <xdr:grpSp>
          <xdr:nvGrpSpPr>
            <xdr:cNvPr id="9" name="Group 8"/>
            <xdr:cNvGrpSpPr/>
          </xdr:nvGrpSpPr>
          <xdr:grpSpPr bwMode="gray">
            <a:xfrm>
              <a:off x="8812128" y="4322805"/>
              <a:ext cx="271672" cy="246232"/>
              <a:chOff x="1647125" y="1939181"/>
              <a:chExt cx="271672" cy="246232"/>
            </a:xfrm>
          </xdr:grpSpPr>
          <xdr:sp macro="" textlink="">
            <xdr:nvSpPr>
              <xdr:cNvPr id="10" name="Rectangle 9"/>
              <xdr:cNvSpPr/>
            </xdr:nvSpPr>
            <xdr:spPr bwMode="gray">
              <a:xfrm>
                <a:off x="1647125"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11" name="Round Same Side Corner Rectangle 10"/>
              <xdr:cNvSpPr/>
            </xdr:nvSpPr>
            <xdr:spPr bwMode="gray">
              <a:xfrm rot="10800000">
                <a:off x="1647125" y="193918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12" name="L-Shape 11"/>
              <xdr:cNvSpPr/>
            </xdr:nvSpPr>
            <xdr:spPr bwMode="gray">
              <a:xfrm rot="18900000">
                <a:off x="1682289" y="1968442"/>
                <a:ext cx="143443" cy="73274"/>
              </a:xfrm>
              <a:prstGeom prst="corner">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r>
                  <a:rPr lang="en-US" sz="1000">
                    <a:solidFill>
                      <a:schemeClr val="bg2"/>
                    </a:solidFill>
                  </a:rPr>
                  <a:t> </a:t>
                </a:r>
              </a:p>
            </xdr:txBody>
          </xdr:sp>
        </xdr:grpSp>
      </xdr:grpSp>
      <xdr:graphicFrame macro="">
        <xdr:nvGraphicFramePr>
          <xdr:cNvPr id="25" name="Chart 24"/>
          <xdr:cNvGraphicFramePr>
            <a:graphicFrameLocks/>
          </xdr:cNvGraphicFramePr>
        </xdr:nvGraphicFramePr>
        <xdr:xfrm>
          <a:off x="5366372" y="1243261"/>
          <a:ext cx="8222082" cy="3068806"/>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67" name="Picture 66">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109161" y="7057258"/>
            <a:ext cx="1200785" cy="325821"/>
          </a:xfrm>
          <a:prstGeom prst="rect">
            <a:avLst/>
          </a:prstGeom>
          <a:noFill/>
          <a:ln>
            <a:noFill/>
          </a:ln>
        </xdr:spPr>
      </xdr:pic>
      <xdr:pic>
        <xdr:nvPicPr>
          <xdr:cNvPr id="68" name="Picture 67">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452185" y="7057258"/>
            <a:ext cx="1197275" cy="325821"/>
          </a:xfrm>
          <a:prstGeom prst="rect">
            <a:avLst/>
          </a:prstGeom>
          <a:noFill/>
          <a:ln>
            <a:noFill/>
          </a:ln>
        </xdr:spPr>
      </xdr:pic>
    </xdr:grpSp>
    <xdr:clientData/>
  </xdr:twoCellAnchor>
  <xdr:twoCellAnchor>
    <xdr:from>
      <xdr:col>2</xdr:col>
      <xdr:colOff>2891823</xdr:colOff>
      <xdr:row>2</xdr:row>
      <xdr:rowOff>170446</xdr:rowOff>
    </xdr:from>
    <xdr:to>
      <xdr:col>2</xdr:col>
      <xdr:colOff>3168317</xdr:colOff>
      <xdr:row>3</xdr:row>
      <xdr:rowOff>159956</xdr:rowOff>
    </xdr:to>
    <xdr:grpSp>
      <xdr:nvGrpSpPr>
        <xdr:cNvPr id="39" name="Group 38"/>
        <xdr:cNvGrpSpPr/>
      </xdr:nvGrpSpPr>
      <xdr:grpSpPr bwMode="gray">
        <a:xfrm>
          <a:off x="4923823" y="1218196"/>
          <a:ext cx="276494" cy="180010"/>
          <a:chOff x="5569224" y="1247744"/>
          <a:chExt cx="271672" cy="181522"/>
        </a:xfrm>
      </xdr:grpSpPr>
      <xdr:sp macro="" textlink="">
        <xdr:nvSpPr>
          <xdr:cNvPr id="40" name="Rectangle 39"/>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41" name="Round Same Side Corner Rectangle 40"/>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42" name="Group 41"/>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43" name="Freeform 42"/>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44" name="Freeform 43"/>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2</xdr:col>
      <xdr:colOff>1</xdr:colOff>
      <xdr:row>16</xdr:row>
      <xdr:rowOff>122465</xdr:rowOff>
    </xdr:from>
    <xdr:to>
      <xdr:col>2</xdr:col>
      <xdr:colOff>3170465</xdr:colOff>
      <xdr:row>26</xdr:row>
      <xdr:rowOff>89664</xdr:rowOff>
    </xdr:to>
    <xdr:sp macro="" textlink="">
      <xdr:nvSpPr>
        <xdr:cNvPr id="26" name="Line Callout 2 (No Border) 86"/>
        <xdr:cNvSpPr/>
      </xdr:nvSpPr>
      <xdr:spPr bwMode="gray">
        <a:xfrm>
          <a:off x="2027465" y="4014108"/>
          <a:ext cx="3170464" cy="1858592"/>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latin typeface="+mn-lt"/>
              <a:ea typeface="Times New Roman"/>
              <a:cs typeface="Times New Roman"/>
            </a:rPr>
            <a:t>Survey</a:t>
          </a:r>
          <a:r>
            <a:rPr lang="en-US" sz="900" b="1" kern="1200" baseline="0">
              <a:solidFill>
                <a:schemeClr val="tx1"/>
              </a:solidFill>
              <a:effectLst/>
              <a:latin typeface="+mn-lt"/>
              <a:ea typeface="Times New Roman"/>
              <a:cs typeface="Times New Roman"/>
            </a:rPr>
            <a:t> respondents who experienced at least one instance of sexual misconduct </a:t>
          </a:r>
          <a:endParaRPr lang="en-US" sz="1200" b="0" kern="0">
            <a:solidFill>
              <a:schemeClr val="tx1"/>
            </a:solidFill>
            <a:effectLst/>
            <a:latin typeface="Times New Roman"/>
            <a:ea typeface="Times New Roman"/>
            <a:cs typeface="+mn-cs"/>
          </a:endParaRPr>
        </a:p>
        <a:p>
          <a:pPr marL="0" marR="0">
            <a:spcAft>
              <a:spcPts val="1000"/>
            </a:spcAft>
          </a:pPr>
          <a:endParaRPr lang="en-US" sz="900">
            <a:solidFill>
              <a:schemeClr val="tx1"/>
            </a:solidFill>
            <a:effectLst/>
            <a:ea typeface="Times New Roman"/>
          </a:endParaRPr>
        </a:p>
        <a:p>
          <a:pPr marL="0" marR="0">
            <a:spcAft>
              <a:spcPts val="1000"/>
            </a:spcAft>
          </a:pPr>
          <a:endParaRPr lang="en-US" sz="900">
            <a:solidFill>
              <a:schemeClr val="tx1"/>
            </a:solidFill>
            <a:effectLst/>
            <a:ea typeface="Times New Roman"/>
          </a:endParaRPr>
        </a:p>
        <a:p>
          <a:pPr marL="0" marR="0">
            <a:spcAft>
              <a:spcPts val="1000"/>
            </a:spcAft>
          </a:pPr>
          <a:r>
            <a:rPr lang="en-US" sz="900">
              <a:solidFill>
                <a:schemeClr val="tx1"/>
              </a:solidFill>
              <a:effectLst/>
              <a:ea typeface="Times New Roman"/>
            </a:rPr>
            <a:t>Number of respondents that experienced at least one incident of sexual misconduct at least one time since the beginning of the school year.</a:t>
          </a:r>
        </a:p>
      </xdr:txBody>
    </xdr:sp>
    <xdr:clientData/>
  </xdr:twoCellAnchor>
  <xdr:twoCellAnchor>
    <xdr:from>
      <xdr:col>2</xdr:col>
      <xdr:colOff>1187125</xdr:colOff>
      <xdr:row>18</xdr:row>
      <xdr:rowOff>356443</xdr:rowOff>
    </xdr:from>
    <xdr:to>
      <xdr:col>2</xdr:col>
      <xdr:colOff>1587492</xdr:colOff>
      <xdr:row>20</xdr:row>
      <xdr:rowOff>110950</xdr:rowOff>
    </xdr:to>
    <xdr:sp macro="" textlink="R27">
      <xdr:nvSpPr>
        <xdr:cNvPr id="27" name="TextBox 40"/>
        <xdr:cNvSpPr txBox="1"/>
      </xdr:nvSpPr>
      <xdr:spPr bwMode="gray">
        <a:xfrm>
          <a:off x="3219125" y="4589776"/>
          <a:ext cx="400367" cy="368341"/>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F0E14C32-FD5E-4B67-8683-51C51BC70680}" type="TxLink">
            <a:rPr lang="en-US" sz="2500" b="0" i="0" u="none" strike="noStrike">
              <a:solidFill>
                <a:schemeClr val="accent6"/>
              </a:solidFill>
              <a:latin typeface="+mj-lt"/>
              <a:ea typeface="Verdana"/>
              <a:cs typeface="Verdana"/>
            </a:rPr>
            <a:pPr/>
            <a:t>58</a:t>
          </a:fld>
          <a:endParaRPr lang="en-US" sz="2500">
            <a:solidFill>
              <a:schemeClr val="accent6"/>
            </a:solidFill>
            <a:latin typeface="+mj-lt"/>
          </a:endParaRPr>
        </a:p>
      </xdr:txBody>
    </xdr:sp>
    <xdr:clientData/>
  </xdr:twoCellAnchor>
  <xdr:twoCellAnchor>
    <xdr:from>
      <xdr:col>2</xdr:col>
      <xdr:colOff>2931487</xdr:colOff>
      <xdr:row>16</xdr:row>
      <xdr:rowOff>122465</xdr:rowOff>
    </xdr:from>
    <xdr:to>
      <xdr:col>2</xdr:col>
      <xdr:colOff>3170465</xdr:colOff>
      <xdr:row>17</xdr:row>
      <xdr:rowOff>125509</xdr:rowOff>
    </xdr:to>
    <xdr:grpSp>
      <xdr:nvGrpSpPr>
        <xdr:cNvPr id="28" name="Group 27"/>
        <xdr:cNvGrpSpPr/>
      </xdr:nvGrpSpPr>
      <xdr:grpSpPr bwMode="gray">
        <a:xfrm>
          <a:off x="4963487" y="3985382"/>
          <a:ext cx="238978" cy="172377"/>
          <a:chOff x="4411101" y="2003891"/>
          <a:chExt cx="271672" cy="181522"/>
        </a:xfrm>
      </xdr:grpSpPr>
      <xdr:sp macro="" textlink="">
        <xdr:nvSpPr>
          <xdr:cNvPr id="29" name="Rectangle 28"/>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lt1"/>
                </a:solidFill>
                <a:latin typeface="+mn-lt"/>
                <a:ea typeface="+mn-ea"/>
                <a:cs typeface="+mn-cs"/>
              </a:defRPr>
            </a:lvl1pPr>
            <a:lvl2pPr marL="320040" algn="l" defTabSz="640080" rtl="0" eaLnBrk="1" latinLnBrk="0" hangingPunct="1">
              <a:defRPr sz="1300" kern="1200">
                <a:solidFill>
                  <a:schemeClr val="lt1"/>
                </a:solidFill>
                <a:latin typeface="+mn-lt"/>
                <a:ea typeface="+mn-ea"/>
                <a:cs typeface="+mn-cs"/>
              </a:defRPr>
            </a:lvl2pPr>
            <a:lvl3pPr marL="640080" algn="l" defTabSz="640080" rtl="0" eaLnBrk="1" latinLnBrk="0" hangingPunct="1">
              <a:defRPr sz="1300" kern="1200">
                <a:solidFill>
                  <a:schemeClr val="lt1"/>
                </a:solidFill>
                <a:latin typeface="+mn-lt"/>
                <a:ea typeface="+mn-ea"/>
                <a:cs typeface="+mn-cs"/>
              </a:defRPr>
            </a:lvl3pPr>
            <a:lvl4pPr marL="960120" algn="l" defTabSz="640080" rtl="0" eaLnBrk="1" latinLnBrk="0" hangingPunct="1">
              <a:defRPr sz="1300" kern="1200">
                <a:solidFill>
                  <a:schemeClr val="lt1"/>
                </a:solidFill>
                <a:latin typeface="+mn-lt"/>
                <a:ea typeface="+mn-ea"/>
                <a:cs typeface="+mn-cs"/>
              </a:defRPr>
            </a:lvl4pPr>
            <a:lvl5pPr marL="1280160" algn="l" defTabSz="640080" rtl="0" eaLnBrk="1" latinLnBrk="0" hangingPunct="1">
              <a:defRPr sz="1300" kern="1200">
                <a:solidFill>
                  <a:schemeClr val="lt1"/>
                </a:solidFill>
                <a:latin typeface="+mn-lt"/>
                <a:ea typeface="+mn-ea"/>
                <a:cs typeface="+mn-cs"/>
              </a:defRPr>
            </a:lvl5pPr>
            <a:lvl6pPr marL="1600200" algn="l" defTabSz="640080" rtl="0" eaLnBrk="1" latinLnBrk="0" hangingPunct="1">
              <a:defRPr sz="1300" kern="1200">
                <a:solidFill>
                  <a:schemeClr val="lt1"/>
                </a:solidFill>
                <a:latin typeface="+mn-lt"/>
                <a:ea typeface="+mn-ea"/>
                <a:cs typeface="+mn-cs"/>
              </a:defRPr>
            </a:lvl6pPr>
            <a:lvl7pPr marL="1920240" algn="l" defTabSz="640080" rtl="0" eaLnBrk="1" latinLnBrk="0" hangingPunct="1">
              <a:defRPr sz="1300" kern="1200">
                <a:solidFill>
                  <a:schemeClr val="lt1"/>
                </a:solidFill>
                <a:latin typeface="+mn-lt"/>
                <a:ea typeface="+mn-ea"/>
                <a:cs typeface="+mn-cs"/>
              </a:defRPr>
            </a:lvl7pPr>
            <a:lvl8pPr marL="2240280" algn="l" defTabSz="640080" rtl="0" eaLnBrk="1" latinLnBrk="0" hangingPunct="1">
              <a:defRPr sz="1300" kern="1200">
                <a:solidFill>
                  <a:schemeClr val="lt1"/>
                </a:solidFill>
                <a:latin typeface="+mn-lt"/>
                <a:ea typeface="+mn-ea"/>
                <a:cs typeface="+mn-cs"/>
              </a:defRPr>
            </a:lvl8pPr>
            <a:lvl9pPr marL="2560320" algn="l" defTabSz="640080" rtl="0" eaLnBrk="1" latinLnBrk="0" hangingPunct="1">
              <a:defRPr sz="13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0" name="Round Same Side Corner Rectangle 29"/>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endParaRPr lang="en-US" sz="1000"/>
          </a:p>
        </xdr:txBody>
      </xdr:sp>
      <xdr:sp macro="" textlink="">
        <xdr:nvSpPr>
          <xdr:cNvPr id="31" name="Freeform 30"/>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defTabSz="1463675"/>
            <a:endParaRPr lang="en-US" sz="1000">
              <a:solidFill>
                <a:schemeClr val="bg2"/>
              </a:solidFill>
            </a:endParaRPr>
          </a:p>
        </xdr:txBody>
      </xdr:sp>
    </xdr:grpSp>
    <xdr:clientData/>
  </xdr:twoCellAnchor>
  <xdr:twoCellAnchor>
    <xdr:from>
      <xdr:col>2</xdr:col>
      <xdr:colOff>178692</xdr:colOff>
      <xdr:row>24</xdr:row>
      <xdr:rowOff>103955</xdr:rowOff>
    </xdr:from>
    <xdr:to>
      <xdr:col>2</xdr:col>
      <xdr:colOff>1490738</xdr:colOff>
      <xdr:row>27</xdr:row>
      <xdr:rowOff>21748</xdr:rowOff>
    </xdr:to>
    <xdr:sp macro="" textlink="W27">
      <xdr:nvSpPr>
        <xdr:cNvPr id="32" name="TextBox 40"/>
        <xdr:cNvSpPr txBox="1"/>
      </xdr:nvSpPr>
      <xdr:spPr bwMode="gray">
        <a:xfrm>
          <a:off x="2210692" y="5543788"/>
          <a:ext cx="1312046" cy="362293"/>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1E2435FF-E9D7-469F-AB87-7DC3047366F2}" type="TxLink">
            <a:rPr lang="en-US" sz="900" b="0" i="0" u="none" strike="noStrike">
              <a:solidFill>
                <a:srgbClr val="4F5861"/>
              </a:solidFill>
              <a:latin typeface="Verdana"/>
              <a:ea typeface="Verdana"/>
              <a:cs typeface="Verdana"/>
            </a:rPr>
            <a:pPr/>
            <a:t>n=1432</a:t>
          </a:fld>
          <a:endParaRPr lang="en-US" sz="900">
            <a:solidFill>
              <a:schemeClr val="tx1"/>
            </a:solidFill>
            <a:latin typeface="+mn-lt"/>
          </a:endParaRPr>
        </a:p>
      </xdr:txBody>
    </xdr:sp>
    <xdr:clientData/>
  </xdr:twoCellAnchor>
  <xdr:twoCellAnchor>
    <xdr:from>
      <xdr:col>0</xdr:col>
      <xdr:colOff>0</xdr:colOff>
      <xdr:row>2</xdr:row>
      <xdr:rowOff>0</xdr:rowOff>
    </xdr:from>
    <xdr:to>
      <xdr:col>1</xdr:col>
      <xdr:colOff>30079</xdr:colOff>
      <xdr:row>30</xdr:row>
      <xdr:rowOff>53175</xdr:rowOff>
    </xdr:to>
    <xdr:grpSp>
      <xdr:nvGrpSpPr>
        <xdr:cNvPr id="55" name="Group 54"/>
        <xdr:cNvGrpSpPr/>
      </xdr:nvGrpSpPr>
      <xdr:grpSpPr>
        <a:xfrm>
          <a:off x="0" y="1047750"/>
          <a:ext cx="1786912" cy="5334258"/>
          <a:chOff x="0" y="1052763"/>
          <a:chExt cx="1784684" cy="5387175"/>
        </a:xfrm>
      </xdr:grpSpPr>
      <xdr:sp macro="" textlink="">
        <xdr:nvSpPr>
          <xdr:cNvPr id="56" name="TextBox 55"/>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57" name="TextBox 56">
            <a:hlinkClick xmlns:r="http://schemas.openxmlformats.org/officeDocument/2006/relationships" r:id="rId8"/>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58" name="TextBox 57">
            <a:hlinkClick xmlns:r="http://schemas.openxmlformats.org/officeDocument/2006/relationships" r:id="rId9"/>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59" name="TextBox 58">
            <a:hlinkClick xmlns:r="http://schemas.openxmlformats.org/officeDocument/2006/relationships" r:id="rId4"/>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60" name="TextBox 59">
            <a:hlinkClick xmlns:r="http://schemas.openxmlformats.org/officeDocument/2006/relationships" r:id="rId10"/>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61" name="TextBox 60">
            <a:hlinkClick xmlns:r="http://schemas.openxmlformats.org/officeDocument/2006/relationships" r:id="rId6"/>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62" name="TextBox 61">
            <a:hlinkClick xmlns:r="http://schemas.openxmlformats.org/officeDocument/2006/relationships" r:id="rId11"/>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63" name="TextBox 62">
            <a:hlinkClick xmlns:r="http://schemas.openxmlformats.org/officeDocument/2006/relationships" r:id="rId12"/>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64" name="TextBox 63">
            <a:hlinkClick xmlns:r="http://schemas.openxmlformats.org/officeDocument/2006/relationships" r:id="rId13"/>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65" name="TextBox 64">
            <a:hlinkClick xmlns:r="http://schemas.openxmlformats.org/officeDocument/2006/relationships" r:id="rId14"/>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66" name="TextBox 65">
            <a:hlinkClick xmlns:r="http://schemas.openxmlformats.org/officeDocument/2006/relationships" r:id="rId15"/>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69" name="TextBox 68">
            <a:hlinkClick xmlns:r="http://schemas.openxmlformats.org/officeDocument/2006/relationships" r:id="rId16"/>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70" name="TextBox 69">
            <a:hlinkClick xmlns:r="http://schemas.openxmlformats.org/officeDocument/2006/relationships" r:id="rId17"/>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71" name="TextBox 70">
            <a:hlinkClick xmlns:r="http://schemas.openxmlformats.org/officeDocument/2006/relationships" r:id="rId18"/>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46937</xdr:colOff>
      <xdr:row>22</xdr:row>
      <xdr:rowOff>70176</xdr:rowOff>
    </xdr:from>
    <xdr:to>
      <xdr:col>9</xdr:col>
      <xdr:colOff>412697</xdr:colOff>
      <xdr:row>24</xdr:row>
      <xdr:rowOff>7706</xdr:rowOff>
    </xdr:to>
    <xdr:pic>
      <xdr:nvPicPr>
        <xdr:cNvPr id="41" name="Picture 40" descr="L:\Public\Share\ABC Templates and Resources\EAB Templates and Resources\EAB Art Icons Logos\EAB Icons\Community_park.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7937" y="4732413"/>
          <a:ext cx="365760" cy="338582"/>
        </a:xfrm>
        <a:prstGeom prst="rect">
          <a:avLst/>
        </a:prstGeom>
        <a:noFill/>
        <a:ln>
          <a:noFill/>
        </a:ln>
      </xdr:spPr>
    </xdr:pic>
    <xdr:clientData/>
  </xdr:twoCellAnchor>
  <xdr:twoCellAnchor editAs="oneCell">
    <xdr:from>
      <xdr:col>4</xdr:col>
      <xdr:colOff>12354</xdr:colOff>
      <xdr:row>22</xdr:row>
      <xdr:rowOff>32971</xdr:rowOff>
    </xdr:from>
    <xdr:to>
      <xdr:col>4</xdr:col>
      <xdr:colOff>301660</xdr:colOff>
      <xdr:row>24</xdr:row>
      <xdr:rowOff>2820</xdr:rowOff>
    </xdr:to>
    <xdr:pic>
      <xdr:nvPicPr>
        <xdr:cNvPr id="42" name="Picture 41" descr="L:\Public\Share\ABC Templates and Resources\EAB Templates and Resources\EAB Art Icons Logos\EAB Icons\Person_Casual.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1565" y="4695208"/>
          <a:ext cx="289306" cy="365760"/>
        </a:xfrm>
        <a:prstGeom prst="rect">
          <a:avLst/>
        </a:prstGeom>
        <a:noFill/>
        <a:ln>
          <a:noFill/>
        </a:ln>
      </xdr:spPr>
    </xdr:pic>
    <xdr:clientData/>
  </xdr:twoCellAnchor>
  <xdr:twoCellAnchor>
    <xdr:from>
      <xdr:col>13</xdr:col>
      <xdr:colOff>38099</xdr:colOff>
      <xdr:row>2</xdr:row>
      <xdr:rowOff>187489</xdr:rowOff>
    </xdr:from>
    <xdr:to>
      <xdr:col>15</xdr:col>
      <xdr:colOff>40104</xdr:colOff>
      <xdr:row>10</xdr:row>
      <xdr:rowOff>142876</xdr:rowOff>
    </xdr:to>
    <xdr:sp macro="" textlink="">
      <xdr:nvSpPr>
        <xdr:cNvPr id="24" name="Line Callout 2 (No Border) 86"/>
        <xdr:cNvSpPr/>
      </xdr:nvSpPr>
      <xdr:spPr bwMode="gray">
        <a:xfrm>
          <a:off x="12420599" y="1235239"/>
          <a:ext cx="2990474" cy="2777168"/>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latin typeface="+mn-lt"/>
              <a:ea typeface="Times New Roman"/>
              <a:cs typeface="Times New Roman"/>
            </a:rPr>
            <a:t>Interpreting</a:t>
          </a:r>
          <a:r>
            <a:rPr lang="en-US" sz="900" b="1" kern="1200" baseline="0">
              <a:solidFill>
                <a:schemeClr val="tx1"/>
              </a:solidFill>
              <a:effectLst/>
              <a:latin typeface="+mn-lt"/>
              <a:ea typeface="Times New Roman"/>
              <a:cs typeface="Times New Roman"/>
            </a:rPr>
            <a:t> These Charts</a:t>
          </a:r>
          <a:endParaRPr lang="en-US" sz="1200" b="0" kern="0">
            <a:solidFill>
              <a:schemeClr val="tx1"/>
            </a:solidFill>
            <a:effectLst/>
            <a:latin typeface="Times New Roman"/>
            <a:ea typeface="Times New Roman"/>
            <a:cs typeface="+mn-cs"/>
          </a:endParaRP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Respondents who didn't experience unwanted sexual contact were not asked follow up questions about the incident.</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The same respondent could have selected multiple responses to any question in this section. For example, a respondent could have selected that the perpetrator caught them off guard </a:t>
          </a:r>
          <a:r>
            <a:rPr lang="en-US" sz="900" b="1" baseline="0">
              <a:solidFill>
                <a:schemeClr val="tx1"/>
              </a:solidFill>
              <a:effectLst/>
              <a:ea typeface="Times New Roman"/>
            </a:rPr>
            <a:t>and</a:t>
          </a:r>
          <a:r>
            <a:rPr lang="en-US" sz="900" baseline="0">
              <a:solidFill>
                <a:schemeClr val="tx1"/>
              </a:solidFill>
              <a:effectLst/>
              <a:ea typeface="Times New Roman"/>
            </a:rPr>
            <a:t> threatened to spread rumors.</a:t>
          </a:r>
        </a:p>
      </xdr:txBody>
    </xdr:sp>
    <xdr:clientData/>
  </xdr:twoCellAnchor>
  <xdr:twoCellAnchor>
    <xdr:from>
      <xdr:col>5</xdr:col>
      <xdr:colOff>882316</xdr:colOff>
      <xdr:row>2</xdr:row>
      <xdr:rowOff>187488</xdr:rowOff>
    </xdr:from>
    <xdr:to>
      <xdr:col>12</xdr:col>
      <xdr:colOff>621634</xdr:colOff>
      <xdr:row>19</xdr:row>
      <xdr:rowOff>200521</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xdr:colOff>
      <xdr:row>2</xdr:row>
      <xdr:rowOff>187488</xdr:rowOff>
    </xdr:from>
    <xdr:to>
      <xdr:col>5</xdr:col>
      <xdr:colOff>370981</xdr:colOff>
      <xdr:row>14</xdr:row>
      <xdr:rowOff>190500</xdr:rowOff>
    </xdr:to>
    <xdr:sp macro="" textlink="">
      <xdr:nvSpPr>
        <xdr:cNvPr id="40" name="Line Callout 2 (No Border) 86"/>
        <xdr:cNvSpPr/>
      </xdr:nvSpPr>
      <xdr:spPr bwMode="gray">
        <a:xfrm>
          <a:off x="2032006" y="1235238"/>
          <a:ext cx="2625225" cy="2648845"/>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The</a:t>
          </a:r>
          <a:r>
            <a:rPr lang="en-US" sz="900" baseline="0">
              <a:solidFill>
                <a:schemeClr val="tx1"/>
              </a:solidFill>
              <a:effectLst/>
              <a:ea typeface="Times New Roman"/>
            </a:rPr>
            <a:t> majority of respondents who experienced unwanted sexual contact were caught off guard by the perpetrator or the perpetrator ignored non-verbal cues.</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The unwanted behavior was most commonly perpetrated</a:t>
          </a:r>
          <a:r>
            <a:rPr lang="en-US" sz="900" baseline="0">
              <a:solidFill>
                <a:schemeClr val="tx1"/>
              </a:solidFill>
              <a:effectLst/>
              <a:ea typeface="Times New Roman"/>
            </a:rPr>
            <a:t> by someone with no prior relationship to the victim or an acquaintance or peer.</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Common locations of incidents of unwanted sexual contact were off-campus residences and other off-campus locations.</a:t>
          </a:r>
        </a:p>
      </xdr:txBody>
    </xdr:sp>
    <xdr:clientData/>
  </xdr:twoCellAnchor>
  <xdr:twoCellAnchor>
    <xdr:from>
      <xdr:col>13</xdr:col>
      <xdr:colOff>457567</xdr:colOff>
      <xdr:row>30</xdr:row>
      <xdr:rowOff>100263</xdr:rowOff>
    </xdr:from>
    <xdr:to>
      <xdr:col>15</xdr:col>
      <xdr:colOff>40104</xdr:colOff>
      <xdr:row>32</xdr:row>
      <xdr:rowOff>25031</xdr:rowOff>
    </xdr:to>
    <xdr:grpSp>
      <xdr:nvGrpSpPr>
        <xdr:cNvPr id="3" name="Group 2"/>
        <xdr:cNvGrpSpPr/>
      </xdr:nvGrpSpPr>
      <xdr:grpSpPr>
        <a:xfrm>
          <a:off x="12850650" y="7106430"/>
          <a:ext cx="2577621" cy="326934"/>
          <a:chOff x="12502816" y="6065921"/>
          <a:chExt cx="2570379" cy="325821"/>
        </a:xfrm>
      </xdr:grpSpPr>
      <xdr:pic>
        <xdr:nvPicPr>
          <xdr:cNvPr id="35" name="Picture 34">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502816" y="6065921"/>
            <a:ext cx="1200785" cy="325821"/>
          </a:xfrm>
          <a:prstGeom prst="rect">
            <a:avLst/>
          </a:prstGeom>
          <a:noFill/>
          <a:ln>
            <a:noFill/>
          </a:ln>
        </xdr:spPr>
      </xdr:pic>
      <xdr:pic>
        <xdr:nvPicPr>
          <xdr:cNvPr id="39" name="Picture 38">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845841" y="6065921"/>
            <a:ext cx="1227354" cy="325821"/>
          </a:xfrm>
          <a:prstGeom prst="rect">
            <a:avLst/>
          </a:prstGeom>
          <a:noFill/>
          <a:ln>
            <a:noFill/>
          </a:ln>
        </xdr:spPr>
      </xdr:pic>
    </xdr:grpSp>
    <xdr:clientData/>
  </xdr:twoCellAnchor>
  <xdr:twoCellAnchor editAs="oneCell">
    <xdr:from>
      <xdr:col>0</xdr:col>
      <xdr:colOff>120315</xdr:colOff>
      <xdr:row>0</xdr:row>
      <xdr:rowOff>110289</xdr:rowOff>
    </xdr:from>
    <xdr:to>
      <xdr:col>0</xdr:col>
      <xdr:colOff>1550179</xdr:colOff>
      <xdr:row>0</xdr:row>
      <xdr:rowOff>658929</xdr:rowOff>
    </xdr:to>
    <xdr:pic>
      <xdr:nvPicPr>
        <xdr:cNvPr id="21" name="Picture 2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0315" y="110289"/>
          <a:ext cx="1429864" cy="548640"/>
        </a:xfrm>
        <a:prstGeom prst="rect">
          <a:avLst/>
        </a:prstGeom>
      </xdr:spPr>
    </xdr:pic>
    <xdr:clientData/>
  </xdr:twoCellAnchor>
  <xdr:twoCellAnchor>
    <xdr:from>
      <xdr:col>14</xdr:col>
      <xdr:colOff>2261698</xdr:colOff>
      <xdr:row>2</xdr:row>
      <xdr:rowOff>189735</xdr:rowOff>
    </xdr:from>
    <xdr:to>
      <xdr:col>15</xdr:col>
      <xdr:colOff>38372</xdr:colOff>
      <xdr:row>3</xdr:row>
      <xdr:rowOff>200569</xdr:rowOff>
    </xdr:to>
    <xdr:grpSp>
      <xdr:nvGrpSpPr>
        <xdr:cNvPr id="22" name="Group 21"/>
        <xdr:cNvGrpSpPr/>
      </xdr:nvGrpSpPr>
      <xdr:grpSpPr bwMode="gray">
        <a:xfrm>
          <a:off x="15173365" y="1237485"/>
          <a:ext cx="253174" cy="144184"/>
          <a:chOff x="3003586" y="2652010"/>
          <a:chExt cx="271672" cy="191034"/>
        </a:xfrm>
      </xdr:grpSpPr>
      <xdr:sp macro="" textlink="">
        <xdr:nvSpPr>
          <xdr:cNvPr id="23" name="Rectangle 22"/>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25" name="Round Same Side Corner Rectangle 24"/>
          <xdr:cNvSpPr/>
        </xdr:nvSpPr>
        <xdr:spPr bwMode="gray">
          <a:xfrm rot="10800000">
            <a:off x="3003586" y="2652010"/>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26" name="Freeform 25"/>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xdr:from>
      <xdr:col>5</xdr:col>
      <xdr:colOff>95250</xdr:colOff>
      <xdr:row>2</xdr:row>
      <xdr:rowOff>190499</xdr:rowOff>
    </xdr:from>
    <xdr:to>
      <xdr:col>5</xdr:col>
      <xdr:colOff>371744</xdr:colOff>
      <xdr:row>3</xdr:row>
      <xdr:rowOff>180009</xdr:rowOff>
    </xdr:to>
    <xdr:grpSp>
      <xdr:nvGrpSpPr>
        <xdr:cNvPr id="27" name="Group 26"/>
        <xdr:cNvGrpSpPr/>
      </xdr:nvGrpSpPr>
      <xdr:grpSpPr bwMode="gray">
        <a:xfrm>
          <a:off x="4381500" y="1238249"/>
          <a:ext cx="276494" cy="141910"/>
          <a:chOff x="5569224" y="1247744"/>
          <a:chExt cx="271672" cy="181522"/>
        </a:xfrm>
      </xdr:grpSpPr>
      <xdr:sp macro="" textlink="">
        <xdr:nvSpPr>
          <xdr:cNvPr id="28" name="Rectangle 27"/>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29" name="Round Same Side Corner Rectangle 28"/>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30" name="Group 29"/>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31" name="Freeform 30"/>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32" name="Freeform 31"/>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0</xdr:col>
      <xdr:colOff>0</xdr:colOff>
      <xdr:row>2</xdr:row>
      <xdr:rowOff>0</xdr:rowOff>
    </xdr:from>
    <xdr:to>
      <xdr:col>1</xdr:col>
      <xdr:colOff>28567</xdr:colOff>
      <xdr:row>27</xdr:row>
      <xdr:rowOff>32008</xdr:rowOff>
    </xdr:to>
    <xdr:grpSp>
      <xdr:nvGrpSpPr>
        <xdr:cNvPr id="55" name="Group 54"/>
        <xdr:cNvGrpSpPr/>
      </xdr:nvGrpSpPr>
      <xdr:grpSpPr>
        <a:xfrm>
          <a:off x="0" y="1047750"/>
          <a:ext cx="1785400" cy="5387175"/>
          <a:chOff x="0" y="1052763"/>
          <a:chExt cx="1784684" cy="5387175"/>
        </a:xfrm>
      </xdr:grpSpPr>
      <xdr:sp macro="" textlink="">
        <xdr:nvSpPr>
          <xdr:cNvPr id="56" name="TextBox 55"/>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57" name="TextBox 56">
            <a:hlinkClick xmlns:r="http://schemas.openxmlformats.org/officeDocument/2006/relationships" r:id="rId9"/>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58" name="TextBox 57">
            <a:hlinkClick xmlns:r="http://schemas.openxmlformats.org/officeDocument/2006/relationships" r:id="rId10"/>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59" name="TextBox 58">
            <a:hlinkClick xmlns:r="http://schemas.openxmlformats.org/officeDocument/2006/relationships" r:id="rId11"/>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60" name="TextBox 59">
            <a:hlinkClick xmlns:r="http://schemas.openxmlformats.org/officeDocument/2006/relationships" r:id="rId4"/>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61" name="TextBox 60">
            <a:hlinkClick xmlns:r="http://schemas.openxmlformats.org/officeDocument/2006/relationships" r:id="rId12"/>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62" name="TextBox 61">
            <a:hlinkClick xmlns:r="http://schemas.openxmlformats.org/officeDocument/2006/relationships" r:id="rId6"/>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63" name="TextBox 62">
            <a:hlinkClick xmlns:r="http://schemas.openxmlformats.org/officeDocument/2006/relationships" r:id="rId13"/>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64" name="TextBox 63">
            <a:hlinkClick xmlns:r="http://schemas.openxmlformats.org/officeDocument/2006/relationships" r:id="rId14"/>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65" name="TextBox 64">
            <a:hlinkClick xmlns:r="http://schemas.openxmlformats.org/officeDocument/2006/relationships" r:id="rId15"/>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66" name="TextBox 65">
            <a:hlinkClick xmlns:r="http://schemas.openxmlformats.org/officeDocument/2006/relationships" r:id="rId16"/>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67" name="TextBox 66">
            <a:hlinkClick xmlns:r="http://schemas.openxmlformats.org/officeDocument/2006/relationships" r:id="rId17"/>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68" name="TextBox 67">
            <a:hlinkClick xmlns:r="http://schemas.openxmlformats.org/officeDocument/2006/relationships" r:id="rId18"/>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69" name="TextBox 68">
            <a:hlinkClick xmlns:r="http://schemas.openxmlformats.org/officeDocument/2006/relationships" r:id="rId19"/>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1553188</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19838" cy="548640"/>
        </a:xfrm>
        <a:prstGeom prst="rect">
          <a:avLst/>
        </a:prstGeom>
      </xdr:spPr>
    </xdr:pic>
    <xdr:clientData/>
  </xdr:twoCellAnchor>
  <xdr:twoCellAnchor>
    <xdr:from>
      <xdr:col>2</xdr:col>
      <xdr:colOff>5784</xdr:colOff>
      <xdr:row>3</xdr:row>
      <xdr:rowOff>3450</xdr:rowOff>
    </xdr:from>
    <xdr:to>
      <xdr:col>4</xdr:col>
      <xdr:colOff>1038496</xdr:colOff>
      <xdr:row>12</xdr:row>
      <xdr:rowOff>190500</xdr:rowOff>
    </xdr:to>
    <xdr:sp macro="" textlink="">
      <xdr:nvSpPr>
        <xdr:cNvPr id="12" name="Line Callout 2 (No Border) 86"/>
        <xdr:cNvSpPr/>
      </xdr:nvSpPr>
      <xdr:spPr bwMode="gray">
        <a:xfrm>
          <a:off x="2037784" y="1241700"/>
          <a:ext cx="2514379" cy="2938717"/>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Respondents</a:t>
          </a:r>
          <a:r>
            <a:rPr lang="en-US" sz="900" baseline="0">
              <a:solidFill>
                <a:schemeClr val="tx1"/>
              </a:solidFill>
              <a:effectLst/>
              <a:ea typeface="Times New Roman"/>
            </a:rPr>
            <a:t> who experienced unwanted sexual contact most commonly told a</a:t>
          </a:r>
          <a:r>
            <a:rPr lang="en-US" sz="900">
              <a:solidFill>
                <a:schemeClr val="tx1"/>
              </a:solidFill>
              <a:effectLst/>
              <a:ea typeface="Times New Roman"/>
            </a:rPr>
            <a:t> roommate,</a:t>
          </a:r>
          <a:r>
            <a:rPr lang="en-US" sz="900" baseline="0">
              <a:solidFill>
                <a:schemeClr val="tx1"/>
              </a:solidFill>
              <a:effectLst/>
              <a:ea typeface="Times New Roman"/>
            </a:rPr>
            <a:t> friend, or classmate about the incident. A third of respondents told no one about the incident.</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Respondents most commonly</a:t>
          </a:r>
          <a:r>
            <a:rPr lang="en-US" sz="900" baseline="0">
              <a:solidFill>
                <a:schemeClr val="tx1"/>
              </a:solidFill>
              <a:effectLst/>
              <a:ea typeface="Times New Roman"/>
            </a:rPr>
            <a:t> received a positive response from the individuals they told.</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The most common concern respondents had about sharing their experience was not thinking it was serious enough to report.</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Almost all respondents did not report the incident to the school.</a:t>
          </a:r>
        </a:p>
      </xdr:txBody>
    </xdr:sp>
    <xdr:clientData/>
  </xdr:twoCellAnchor>
  <xdr:twoCellAnchor>
    <xdr:from>
      <xdr:col>6</xdr:col>
      <xdr:colOff>431131</xdr:colOff>
      <xdr:row>11</xdr:row>
      <xdr:rowOff>180473</xdr:rowOff>
    </xdr:from>
    <xdr:to>
      <xdr:col>12</xdr:col>
      <xdr:colOff>170447</xdr:colOff>
      <xdr:row>28</xdr:row>
      <xdr:rowOff>150394</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55411</xdr:colOff>
      <xdr:row>4</xdr:row>
      <xdr:rowOff>19621</xdr:rowOff>
    </xdr:from>
    <xdr:to>
      <xdr:col>5</xdr:col>
      <xdr:colOff>421171</xdr:colOff>
      <xdr:row>5</xdr:row>
      <xdr:rowOff>157676</xdr:rowOff>
    </xdr:to>
    <xdr:pic>
      <xdr:nvPicPr>
        <xdr:cNvPr id="30" name="Picture 29" descr="L:\Public\Share\ABC Templates and Resources\EAB Templates and Resources\EAB Art Icons Logos\EAB Icons\Group.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07885" y="1463410"/>
          <a:ext cx="365760" cy="338582"/>
        </a:xfrm>
        <a:prstGeom prst="rect">
          <a:avLst/>
        </a:prstGeom>
        <a:noFill/>
        <a:ln>
          <a:noFill/>
        </a:ln>
      </xdr:spPr>
    </xdr:pic>
    <xdr:clientData/>
  </xdr:twoCellAnchor>
  <xdr:twoCellAnchor editAs="oneCell">
    <xdr:from>
      <xdr:col>10</xdr:col>
      <xdr:colOff>27486</xdr:colOff>
      <xdr:row>4</xdr:row>
      <xdr:rowOff>58864</xdr:rowOff>
    </xdr:from>
    <xdr:to>
      <xdr:col>10</xdr:col>
      <xdr:colOff>393246</xdr:colOff>
      <xdr:row>5</xdr:row>
      <xdr:rowOff>118433</xdr:rowOff>
    </xdr:to>
    <xdr:pic>
      <xdr:nvPicPr>
        <xdr:cNvPr id="31" name="Picture 30" descr="L:\Public\Share\ABC Templates and Resources\EAB Templates and Resources\EAB Art Icons Logos\EAB Icons\Speech_bubbles.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565" y="1502653"/>
          <a:ext cx="365760" cy="260096"/>
        </a:xfrm>
        <a:prstGeom prst="rect">
          <a:avLst/>
        </a:prstGeom>
        <a:noFill/>
        <a:ln>
          <a:noFill/>
        </a:ln>
      </xdr:spPr>
    </xdr:pic>
    <xdr:clientData/>
  </xdr:twoCellAnchor>
  <xdr:twoCellAnchor>
    <xdr:from>
      <xdr:col>4</xdr:col>
      <xdr:colOff>762002</xdr:colOff>
      <xdr:row>3</xdr:row>
      <xdr:rowOff>3450</xdr:rowOff>
    </xdr:from>
    <xdr:to>
      <xdr:col>4</xdr:col>
      <xdr:colOff>1038496</xdr:colOff>
      <xdr:row>3</xdr:row>
      <xdr:rowOff>183460</xdr:rowOff>
    </xdr:to>
    <xdr:grpSp>
      <xdr:nvGrpSpPr>
        <xdr:cNvPr id="32" name="Group 31"/>
        <xdr:cNvGrpSpPr/>
      </xdr:nvGrpSpPr>
      <xdr:grpSpPr bwMode="gray">
        <a:xfrm>
          <a:off x="4275669" y="1241700"/>
          <a:ext cx="276494" cy="180010"/>
          <a:chOff x="5569224" y="1247744"/>
          <a:chExt cx="271672" cy="181522"/>
        </a:xfrm>
      </xdr:grpSpPr>
      <xdr:sp macro="" textlink="">
        <xdr:nvSpPr>
          <xdr:cNvPr id="33" name="Rectangle 32"/>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4" name="Round Same Side Corner Rectangle 33"/>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35" name="Group 34"/>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36" name="Freeform 35"/>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37" name="Freeform 36"/>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12</xdr:col>
      <xdr:colOff>238419</xdr:colOff>
      <xdr:row>12</xdr:row>
      <xdr:rowOff>170442</xdr:rowOff>
    </xdr:from>
    <xdr:to>
      <xdr:col>14</xdr:col>
      <xdr:colOff>1571918</xdr:colOff>
      <xdr:row>20</xdr:row>
      <xdr:rowOff>1</xdr:rowOff>
    </xdr:to>
    <xdr:sp macro="" textlink="">
      <xdr:nvSpPr>
        <xdr:cNvPr id="56" name="Line Callout 2 (No Border) 86"/>
        <xdr:cNvSpPr/>
      </xdr:nvSpPr>
      <xdr:spPr bwMode="gray">
        <a:xfrm>
          <a:off x="12640972" y="3930310"/>
          <a:ext cx="2656972" cy="1433770"/>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latin typeface="+mn-lt"/>
              <a:ea typeface="Times New Roman"/>
              <a:cs typeface="Times New Roman"/>
            </a:rPr>
            <a:t>Interpreting</a:t>
          </a:r>
          <a:r>
            <a:rPr lang="en-US" sz="900" b="1" kern="1200" baseline="0">
              <a:solidFill>
                <a:schemeClr val="tx1"/>
              </a:solidFill>
              <a:effectLst/>
              <a:latin typeface="+mn-lt"/>
              <a:ea typeface="Times New Roman"/>
              <a:cs typeface="Times New Roman"/>
            </a:rPr>
            <a:t> This Chart</a:t>
          </a:r>
          <a:endParaRPr lang="en-US" sz="1200" b="0" kern="0" baseline="0">
            <a:solidFill>
              <a:schemeClr val="tx1"/>
            </a:solidFill>
            <a:effectLst/>
            <a:latin typeface="Times New Roman"/>
            <a:ea typeface="Times New Roman"/>
            <a:cs typeface="+mn-cs"/>
          </a:endParaRPr>
        </a:p>
        <a:p>
          <a:pPr marL="0" marR="0">
            <a:spcAft>
              <a:spcPts val="1000"/>
            </a:spcAft>
          </a:pPr>
          <a:r>
            <a:rPr lang="en-US" sz="900" baseline="0">
              <a:solidFill>
                <a:schemeClr val="tx1"/>
              </a:solidFill>
              <a:effectLst/>
              <a:ea typeface="Times New Roman"/>
            </a:rPr>
            <a:t>The same respondent could have selected multiple thoughts and concerns. For example, a respondent could have selected they felt ashamed </a:t>
          </a:r>
          <a:r>
            <a:rPr lang="en-US" sz="900" b="1" baseline="0">
              <a:solidFill>
                <a:schemeClr val="tx1"/>
              </a:solidFill>
              <a:effectLst/>
              <a:ea typeface="Times New Roman"/>
            </a:rPr>
            <a:t>and</a:t>
          </a:r>
          <a:r>
            <a:rPr lang="en-US" sz="900" baseline="0">
              <a:solidFill>
                <a:schemeClr val="tx1"/>
              </a:solidFill>
              <a:effectLst/>
              <a:ea typeface="Times New Roman"/>
            </a:rPr>
            <a:t> wanted to forget the incident happened.</a:t>
          </a:r>
        </a:p>
      </xdr:txBody>
    </xdr:sp>
    <xdr:clientData/>
  </xdr:twoCellAnchor>
  <xdr:twoCellAnchor>
    <xdr:from>
      <xdr:col>14</xdr:col>
      <xdr:colOff>1313446</xdr:colOff>
      <xdr:row>12</xdr:row>
      <xdr:rowOff>170441</xdr:rowOff>
    </xdr:from>
    <xdr:to>
      <xdr:col>14</xdr:col>
      <xdr:colOff>1571918</xdr:colOff>
      <xdr:row>13</xdr:row>
      <xdr:rowOff>157182</xdr:rowOff>
    </xdr:to>
    <xdr:grpSp>
      <xdr:nvGrpSpPr>
        <xdr:cNvPr id="57" name="Group 56"/>
        <xdr:cNvGrpSpPr/>
      </xdr:nvGrpSpPr>
      <xdr:grpSpPr bwMode="gray">
        <a:xfrm>
          <a:off x="15040029" y="4160358"/>
          <a:ext cx="258472" cy="187824"/>
          <a:chOff x="3003586" y="2661522"/>
          <a:chExt cx="271672" cy="181522"/>
        </a:xfrm>
      </xdr:grpSpPr>
      <xdr:sp macro="" textlink="">
        <xdr:nvSpPr>
          <xdr:cNvPr id="58" name="Rectangle 57"/>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9" name="Round Same Side Corner Rectangle 58"/>
          <xdr:cNvSpPr/>
        </xdr:nvSpPr>
        <xdr:spPr bwMode="gray">
          <a:xfrm rot="10800000">
            <a:off x="3003586" y="2661522"/>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60" name="Freeform 59"/>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xdr:from>
      <xdr:col>2</xdr:col>
      <xdr:colOff>6</xdr:colOff>
      <xdr:row>15</xdr:row>
      <xdr:rowOff>157413</xdr:rowOff>
    </xdr:from>
    <xdr:to>
      <xdr:col>6</xdr:col>
      <xdr:colOff>220585</xdr:colOff>
      <xdr:row>28</xdr:row>
      <xdr:rowOff>150394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317200</xdr:colOff>
      <xdr:row>30</xdr:row>
      <xdr:rowOff>10026</xdr:rowOff>
    </xdr:from>
    <xdr:to>
      <xdr:col>14</xdr:col>
      <xdr:colOff>194511</xdr:colOff>
      <xdr:row>32</xdr:row>
      <xdr:rowOff>55110</xdr:rowOff>
    </xdr:to>
    <xdr:pic>
      <xdr:nvPicPr>
        <xdr:cNvPr id="62" name="Picture 61">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428989" y="7379368"/>
          <a:ext cx="1200785" cy="325821"/>
        </a:xfrm>
        <a:prstGeom prst="rect">
          <a:avLst/>
        </a:prstGeom>
        <a:noFill/>
        <a:ln>
          <a:noFill/>
        </a:ln>
      </xdr:spPr>
    </xdr:pic>
    <xdr:clientData/>
  </xdr:twoCellAnchor>
  <xdr:twoCellAnchor>
    <xdr:from>
      <xdr:col>14</xdr:col>
      <xdr:colOff>336751</xdr:colOff>
      <xdr:row>30</xdr:row>
      <xdr:rowOff>10026</xdr:rowOff>
    </xdr:from>
    <xdr:to>
      <xdr:col>14</xdr:col>
      <xdr:colOff>1564105</xdr:colOff>
      <xdr:row>32</xdr:row>
      <xdr:rowOff>55110</xdr:rowOff>
    </xdr:to>
    <xdr:pic>
      <xdr:nvPicPr>
        <xdr:cNvPr id="63" name="Picture 62">
          <a:hlinkClick xmlns:r="http://schemas.openxmlformats.org/officeDocument/2006/relationships" r:id="rId8"/>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772014" y="7379368"/>
          <a:ext cx="1227354" cy="325821"/>
        </a:xfrm>
        <a:prstGeom prst="rect">
          <a:avLst/>
        </a:prstGeom>
        <a:noFill/>
        <a:ln>
          <a:noFill/>
        </a:ln>
      </xdr:spPr>
    </xdr:pic>
    <xdr:clientData/>
  </xdr:twoCellAnchor>
  <xdr:twoCellAnchor>
    <xdr:from>
      <xdr:col>0</xdr:col>
      <xdr:colOff>0</xdr:colOff>
      <xdr:row>2</xdr:row>
      <xdr:rowOff>0</xdr:rowOff>
    </xdr:from>
    <xdr:to>
      <xdr:col>1</xdr:col>
      <xdr:colOff>28567</xdr:colOff>
      <xdr:row>24</xdr:row>
      <xdr:rowOff>32008</xdr:rowOff>
    </xdr:to>
    <xdr:grpSp>
      <xdr:nvGrpSpPr>
        <xdr:cNvPr id="46" name="Group 45"/>
        <xdr:cNvGrpSpPr/>
      </xdr:nvGrpSpPr>
      <xdr:grpSpPr>
        <a:xfrm>
          <a:off x="0" y="1047750"/>
          <a:ext cx="1785400" cy="5387175"/>
          <a:chOff x="0" y="1052763"/>
          <a:chExt cx="1784684" cy="5387175"/>
        </a:xfrm>
      </xdr:grpSpPr>
      <xdr:sp macro="" textlink="">
        <xdr:nvSpPr>
          <xdr:cNvPr id="47" name="TextBox 46"/>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48" name="TextBox 47">
            <a:hlinkClick xmlns:r="http://schemas.openxmlformats.org/officeDocument/2006/relationships" r:id="rId10"/>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49" name="TextBox 48">
            <a:hlinkClick xmlns:r="http://schemas.openxmlformats.org/officeDocument/2006/relationships" r:id="rId11"/>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50" name="TextBox 49">
            <a:hlinkClick xmlns:r="http://schemas.openxmlformats.org/officeDocument/2006/relationships" r:id="rId12"/>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51" name="TextBox 50">
            <a:hlinkClick xmlns:r="http://schemas.openxmlformats.org/officeDocument/2006/relationships" r:id="rId13"/>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52" name="TextBox 51">
            <a:hlinkClick xmlns:r="http://schemas.openxmlformats.org/officeDocument/2006/relationships" r:id="rId6"/>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53" name="TextBox 52">
            <a:hlinkClick xmlns:r="http://schemas.openxmlformats.org/officeDocument/2006/relationships" r:id="rId14"/>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54" name="TextBox 53">
            <a:hlinkClick xmlns:r="http://schemas.openxmlformats.org/officeDocument/2006/relationships" r:id="rId15"/>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55" name="TextBox 54">
            <a:hlinkClick xmlns:r="http://schemas.openxmlformats.org/officeDocument/2006/relationships" r:id="rId16"/>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61" name="TextBox 60">
            <a:hlinkClick xmlns:r="http://schemas.openxmlformats.org/officeDocument/2006/relationships" r:id="rId17"/>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64" name="TextBox 63">
            <a:hlinkClick xmlns:r="http://schemas.openxmlformats.org/officeDocument/2006/relationships" r:id="rId18"/>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65" name="TextBox 64">
            <a:hlinkClick xmlns:r="http://schemas.openxmlformats.org/officeDocument/2006/relationships" r:id="rId8"/>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66" name="TextBox 65">
            <a:hlinkClick xmlns:r="http://schemas.openxmlformats.org/officeDocument/2006/relationships" r:id="rId19"/>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67" name="TextBox 66">
            <a:hlinkClick xmlns:r="http://schemas.openxmlformats.org/officeDocument/2006/relationships" r:id="rId20"/>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7090</xdr:colOff>
      <xdr:row>3</xdr:row>
      <xdr:rowOff>6356</xdr:rowOff>
    </xdr:from>
    <xdr:to>
      <xdr:col>5</xdr:col>
      <xdr:colOff>549107</xdr:colOff>
      <xdr:row>12</xdr:row>
      <xdr:rowOff>180474</xdr:rowOff>
    </xdr:to>
    <xdr:sp macro="" textlink="">
      <xdr:nvSpPr>
        <xdr:cNvPr id="5" name="Line Callout 2 (No Border) 86"/>
        <xdr:cNvSpPr/>
      </xdr:nvSpPr>
      <xdr:spPr bwMode="gray">
        <a:xfrm>
          <a:off x="2039090" y="1244606"/>
          <a:ext cx="3653517" cy="2026201"/>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The most common form of harassment respondents experienced was receiving unwanted phone calls or messages.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Nearly forty percent of respondents reported that the perpetrator of the unwanted behavior was an acquaintance or peer.</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Over half of respondents who experienced stalking or harassment told a roommate, friend, or classmate. </a:t>
          </a:r>
        </a:p>
      </xdr:txBody>
    </xdr:sp>
    <xdr:clientData/>
  </xdr:twoCellAnchor>
  <xdr:twoCellAnchor>
    <xdr:from>
      <xdr:col>5</xdr:col>
      <xdr:colOff>271715</xdr:colOff>
      <xdr:row>3</xdr:row>
      <xdr:rowOff>6356</xdr:rowOff>
    </xdr:from>
    <xdr:to>
      <xdr:col>5</xdr:col>
      <xdr:colOff>549107</xdr:colOff>
      <xdr:row>3</xdr:row>
      <xdr:rowOff>191053</xdr:rowOff>
    </xdr:to>
    <xdr:grpSp>
      <xdr:nvGrpSpPr>
        <xdr:cNvPr id="6" name="Group 5"/>
        <xdr:cNvGrpSpPr/>
      </xdr:nvGrpSpPr>
      <xdr:grpSpPr bwMode="gray">
        <a:xfrm>
          <a:off x="5700965" y="1244606"/>
          <a:ext cx="277392" cy="184697"/>
          <a:chOff x="5569224" y="1247744"/>
          <a:chExt cx="271672" cy="181522"/>
        </a:xfrm>
      </xdr:grpSpPr>
      <xdr:sp macro="" textlink="">
        <xdr:nvSpPr>
          <xdr:cNvPr id="7" name="Rectangle 6"/>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8" name="Round Same Side Corner Rectangle 7"/>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9" name="Group 8"/>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10" name="Freeform 9"/>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11" name="Freeform 10"/>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5</xdr:col>
      <xdr:colOff>748381</xdr:colOff>
      <xdr:row>3</xdr:row>
      <xdr:rowOff>27214</xdr:rowOff>
    </xdr:from>
    <xdr:to>
      <xdr:col>11</xdr:col>
      <xdr:colOff>4719</xdr:colOff>
      <xdr:row>26</xdr:row>
      <xdr:rowOff>100263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95250</xdr:rowOff>
    </xdr:from>
    <xdr:to>
      <xdr:col>0</xdr:col>
      <xdr:colOff>1506064</xdr:colOff>
      <xdr:row>0</xdr:row>
      <xdr:rowOff>643890</xdr:rowOff>
    </xdr:to>
    <xdr:pic>
      <xdr:nvPicPr>
        <xdr:cNvPr id="23" name="Picture 2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95250"/>
          <a:ext cx="1429864" cy="548640"/>
        </a:xfrm>
        <a:prstGeom prst="rect">
          <a:avLst/>
        </a:prstGeom>
      </xdr:spPr>
    </xdr:pic>
    <xdr:clientData/>
  </xdr:twoCellAnchor>
  <xdr:twoCellAnchor>
    <xdr:from>
      <xdr:col>10</xdr:col>
      <xdr:colOff>368470</xdr:colOff>
      <xdr:row>39</xdr:row>
      <xdr:rowOff>47082</xdr:rowOff>
    </xdr:from>
    <xdr:to>
      <xdr:col>11</xdr:col>
      <xdr:colOff>52344</xdr:colOff>
      <xdr:row>41</xdr:row>
      <xdr:rowOff>97180</xdr:rowOff>
    </xdr:to>
    <xdr:grpSp>
      <xdr:nvGrpSpPr>
        <xdr:cNvPr id="2" name="Group 1"/>
        <xdr:cNvGrpSpPr/>
      </xdr:nvGrpSpPr>
      <xdr:grpSpPr>
        <a:xfrm>
          <a:off x="10337970" y="8534915"/>
          <a:ext cx="2636624" cy="346432"/>
          <a:chOff x="10046370" y="10086473"/>
          <a:chExt cx="2641637" cy="344443"/>
        </a:xfrm>
      </xdr:grpSpPr>
      <xdr:pic>
        <xdr:nvPicPr>
          <xdr:cNvPr id="41" name="Picture 40">
            <a:hlinkClick xmlns:r="http://schemas.openxmlformats.org/officeDocument/2006/relationships" r:id="rId3"/>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46370" y="10086473"/>
            <a:ext cx="1216899" cy="344443"/>
          </a:xfrm>
          <a:prstGeom prst="rect">
            <a:avLst/>
          </a:prstGeom>
          <a:noFill/>
          <a:ln>
            <a:noFill/>
          </a:ln>
        </xdr:spPr>
      </xdr:pic>
      <xdr:pic>
        <xdr:nvPicPr>
          <xdr:cNvPr id="42" name="Picture 41">
            <a:hlinkClick xmlns:r="http://schemas.openxmlformats.org/officeDocument/2006/relationships" r:id="rId5"/>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06869" y="10086473"/>
            <a:ext cx="1281138" cy="344443"/>
          </a:xfrm>
          <a:prstGeom prst="rect">
            <a:avLst/>
          </a:prstGeom>
          <a:noFill/>
          <a:ln>
            <a:noFill/>
          </a:ln>
        </xdr:spPr>
      </xdr:pic>
    </xdr:grpSp>
    <xdr:clientData/>
  </xdr:twoCellAnchor>
  <xdr:twoCellAnchor>
    <xdr:from>
      <xdr:col>2</xdr:col>
      <xdr:colOff>20053</xdr:colOff>
      <xdr:row>22</xdr:row>
      <xdr:rowOff>98116</xdr:rowOff>
    </xdr:from>
    <xdr:to>
      <xdr:col>2</xdr:col>
      <xdr:colOff>308032</xdr:colOff>
      <xdr:row>24</xdr:row>
      <xdr:rowOff>215928</xdr:rowOff>
    </xdr:to>
    <xdr:pic>
      <xdr:nvPicPr>
        <xdr:cNvPr id="46" name="Picture 45" descr="L:\Public\Share\ABC Templates and Resources\EAB Templates and Resources\EAB Art Icons Logos\EAB Icons\Person_Casual.pn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47517" y="5445723"/>
          <a:ext cx="287979" cy="417169"/>
        </a:xfrm>
        <a:prstGeom prst="rect">
          <a:avLst/>
        </a:prstGeom>
        <a:noFill/>
        <a:ln>
          <a:noFill/>
        </a:ln>
      </xdr:spPr>
    </xdr:pic>
    <xdr:clientData/>
  </xdr:twoCellAnchor>
  <xdr:twoCellAnchor>
    <xdr:from>
      <xdr:col>2</xdr:col>
      <xdr:colOff>34702</xdr:colOff>
      <xdr:row>13</xdr:row>
      <xdr:rowOff>95251</xdr:rowOff>
    </xdr:from>
    <xdr:to>
      <xdr:col>3</xdr:col>
      <xdr:colOff>1362738</xdr:colOff>
      <xdr:row>21</xdr:row>
      <xdr:rowOff>76057</xdr:rowOff>
    </xdr:to>
    <xdr:sp macro="" textlink="">
      <xdr:nvSpPr>
        <xdr:cNvPr id="55" name="Line Callout 2 (No Border) 86"/>
        <xdr:cNvSpPr/>
      </xdr:nvSpPr>
      <xdr:spPr bwMode="gray">
        <a:xfrm>
          <a:off x="2062166" y="3415394"/>
          <a:ext cx="1913143" cy="1858592"/>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Reporting Harassment</a:t>
          </a:r>
          <a:endParaRPr lang="en-US" sz="1200" b="0" kern="0">
            <a:solidFill>
              <a:schemeClr val="tx1"/>
            </a:solidFill>
            <a:effectLst/>
            <a:latin typeface="Times New Roman"/>
            <a:ea typeface="Times New Roman"/>
            <a:cs typeface="+mn-cs"/>
          </a:endParaRPr>
        </a:p>
        <a:p>
          <a:pPr marL="0" marR="0">
            <a:spcAft>
              <a:spcPts val="1000"/>
            </a:spcAft>
          </a:pPr>
          <a:endParaRPr lang="en-US" sz="900">
            <a:solidFill>
              <a:schemeClr val="tx1"/>
            </a:solidFill>
            <a:effectLst/>
            <a:ea typeface="Times New Roman"/>
          </a:endParaRPr>
        </a:p>
        <a:p>
          <a:pPr marL="0" marR="0">
            <a:spcAft>
              <a:spcPts val="1000"/>
            </a:spcAft>
          </a:pPr>
          <a:endParaRPr lang="en-US" sz="900">
            <a:solidFill>
              <a:schemeClr val="tx1"/>
            </a:solidFill>
            <a:effectLst/>
            <a:ea typeface="Times New Roman"/>
          </a:endParaRPr>
        </a:p>
        <a:p>
          <a:pPr marL="0" marR="0">
            <a:spcAft>
              <a:spcPts val="1000"/>
            </a:spcAft>
          </a:pPr>
          <a:r>
            <a:rPr lang="en-US" sz="900">
              <a:solidFill>
                <a:schemeClr val="tx1"/>
              </a:solidFill>
              <a:effectLst/>
              <a:ea typeface="Times New Roman"/>
            </a:rPr>
            <a:t>Number of respondents  used the school's formal procedures to report the harassment.</a:t>
          </a:r>
          <a:r>
            <a:rPr lang="en-US" sz="900" baseline="0">
              <a:solidFill>
                <a:schemeClr val="tx1"/>
              </a:solidFill>
              <a:effectLst/>
              <a:ea typeface="Times New Roman"/>
            </a:rPr>
            <a:t> </a:t>
          </a:r>
        </a:p>
        <a:p>
          <a:pPr marL="0" marR="0">
            <a:spcAft>
              <a:spcPts val="1000"/>
            </a:spcAft>
          </a:pPr>
          <a:endParaRPr lang="en-US" sz="900">
            <a:solidFill>
              <a:schemeClr val="tx1"/>
            </a:solidFill>
            <a:effectLst/>
            <a:ea typeface="Times New Roman"/>
          </a:endParaRPr>
        </a:p>
      </xdr:txBody>
    </xdr:sp>
    <xdr:clientData/>
  </xdr:twoCellAnchor>
  <xdr:twoCellAnchor>
    <xdr:from>
      <xdr:col>3</xdr:col>
      <xdr:colOff>213684</xdr:colOff>
      <xdr:row>15</xdr:row>
      <xdr:rowOff>137220</xdr:rowOff>
    </xdr:from>
    <xdr:to>
      <xdr:col>4</xdr:col>
      <xdr:colOff>435428</xdr:colOff>
      <xdr:row>17</xdr:row>
      <xdr:rowOff>14191</xdr:rowOff>
    </xdr:to>
    <xdr:sp macro="" textlink="P20">
      <xdr:nvSpPr>
        <xdr:cNvPr id="56" name="TextBox 40"/>
        <xdr:cNvSpPr txBox="1"/>
      </xdr:nvSpPr>
      <xdr:spPr bwMode="gray">
        <a:xfrm>
          <a:off x="2826255" y="3879184"/>
          <a:ext cx="1963459" cy="366828"/>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5B0B8D09-E257-44D1-AEB5-E853D462318E}" type="TxLink">
            <a:rPr lang="en-US" sz="2500" b="0" i="0" u="none" strike="noStrike">
              <a:solidFill>
                <a:schemeClr val="accent6"/>
              </a:solidFill>
              <a:latin typeface="+mj-lt"/>
              <a:ea typeface="Verdana"/>
              <a:cs typeface="Verdana"/>
            </a:rPr>
            <a:pPr/>
            <a:t>10</a:t>
          </a:fld>
          <a:endParaRPr lang="en-US" sz="2500">
            <a:solidFill>
              <a:schemeClr val="accent6"/>
            </a:solidFill>
            <a:latin typeface="+mj-lt"/>
          </a:endParaRPr>
        </a:p>
      </xdr:txBody>
    </xdr:sp>
    <xdr:clientData/>
  </xdr:twoCellAnchor>
  <xdr:twoCellAnchor>
    <xdr:from>
      <xdr:col>3</xdr:col>
      <xdr:colOff>1123760</xdr:colOff>
      <xdr:row>13</xdr:row>
      <xdr:rowOff>95251</xdr:rowOff>
    </xdr:from>
    <xdr:to>
      <xdr:col>3</xdr:col>
      <xdr:colOff>1362738</xdr:colOff>
      <xdr:row>14</xdr:row>
      <xdr:rowOff>71081</xdr:rowOff>
    </xdr:to>
    <xdr:grpSp>
      <xdr:nvGrpSpPr>
        <xdr:cNvPr id="57" name="Group 56"/>
        <xdr:cNvGrpSpPr/>
      </xdr:nvGrpSpPr>
      <xdr:grpSpPr bwMode="gray">
        <a:xfrm>
          <a:off x="3748427" y="3386668"/>
          <a:ext cx="238978" cy="176913"/>
          <a:chOff x="4411101" y="2003891"/>
          <a:chExt cx="271672" cy="181522"/>
        </a:xfrm>
      </xdr:grpSpPr>
      <xdr:sp macro="" textlink="">
        <xdr:nvSpPr>
          <xdr:cNvPr id="58" name="Rectangle 57"/>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lt1"/>
                </a:solidFill>
                <a:latin typeface="+mn-lt"/>
                <a:ea typeface="+mn-ea"/>
                <a:cs typeface="+mn-cs"/>
              </a:defRPr>
            </a:lvl1pPr>
            <a:lvl2pPr marL="320040" algn="l" defTabSz="640080" rtl="0" eaLnBrk="1" latinLnBrk="0" hangingPunct="1">
              <a:defRPr sz="1300" kern="1200">
                <a:solidFill>
                  <a:schemeClr val="lt1"/>
                </a:solidFill>
                <a:latin typeface="+mn-lt"/>
                <a:ea typeface="+mn-ea"/>
                <a:cs typeface="+mn-cs"/>
              </a:defRPr>
            </a:lvl2pPr>
            <a:lvl3pPr marL="640080" algn="l" defTabSz="640080" rtl="0" eaLnBrk="1" latinLnBrk="0" hangingPunct="1">
              <a:defRPr sz="1300" kern="1200">
                <a:solidFill>
                  <a:schemeClr val="lt1"/>
                </a:solidFill>
                <a:latin typeface="+mn-lt"/>
                <a:ea typeface="+mn-ea"/>
                <a:cs typeface="+mn-cs"/>
              </a:defRPr>
            </a:lvl3pPr>
            <a:lvl4pPr marL="960120" algn="l" defTabSz="640080" rtl="0" eaLnBrk="1" latinLnBrk="0" hangingPunct="1">
              <a:defRPr sz="1300" kern="1200">
                <a:solidFill>
                  <a:schemeClr val="lt1"/>
                </a:solidFill>
                <a:latin typeface="+mn-lt"/>
                <a:ea typeface="+mn-ea"/>
                <a:cs typeface="+mn-cs"/>
              </a:defRPr>
            </a:lvl4pPr>
            <a:lvl5pPr marL="1280160" algn="l" defTabSz="640080" rtl="0" eaLnBrk="1" latinLnBrk="0" hangingPunct="1">
              <a:defRPr sz="1300" kern="1200">
                <a:solidFill>
                  <a:schemeClr val="lt1"/>
                </a:solidFill>
                <a:latin typeface="+mn-lt"/>
                <a:ea typeface="+mn-ea"/>
                <a:cs typeface="+mn-cs"/>
              </a:defRPr>
            </a:lvl5pPr>
            <a:lvl6pPr marL="1600200" algn="l" defTabSz="640080" rtl="0" eaLnBrk="1" latinLnBrk="0" hangingPunct="1">
              <a:defRPr sz="1300" kern="1200">
                <a:solidFill>
                  <a:schemeClr val="lt1"/>
                </a:solidFill>
                <a:latin typeface="+mn-lt"/>
                <a:ea typeface="+mn-ea"/>
                <a:cs typeface="+mn-cs"/>
              </a:defRPr>
            </a:lvl6pPr>
            <a:lvl7pPr marL="1920240" algn="l" defTabSz="640080" rtl="0" eaLnBrk="1" latinLnBrk="0" hangingPunct="1">
              <a:defRPr sz="1300" kern="1200">
                <a:solidFill>
                  <a:schemeClr val="lt1"/>
                </a:solidFill>
                <a:latin typeface="+mn-lt"/>
                <a:ea typeface="+mn-ea"/>
                <a:cs typeface="+mn-cs"/>
              </a:defRPr>
            </a:lvl7pPr>
            <a:lvl8pPr marL="2240280" algn="l" defTabSz="640080" rtl="0" eaLnBrk="1" latinLnBrk="0" hangingPunct="1">
              <a:defRPr sz="1300" kern="1200">
                <a:solidFill>
                  <a:schemeClr val="lt1"/>
                </a:solidFill>
                <a:latin typeface="+mn-lt"/>
                <a:ea typeface="+mn-ea"/>
                <a:cs typeface="+mn-cs"/>
              </a:defRPr>
            </a:lvl8pPr>
            <a:lvl9pPr marL="2560320" algn="l" defTabSz="640080" rtl="0" eaLnBrk="1" latinLnBrk="0" hangingPunct="1">
              <a:defRPr sz="13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9" name="Round Same Side Corner Rectangle 58"/>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endParaRPr lang="en-US" sz="1000"/>
          </a:p>
        </xdr:txBody>
      </xdr:sp>
      <xdr:sp macro="" textlink="">
        <xdr:nvSpPr>
          <xdr:cNvPr id="60" name="Freeform 59"/>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defTabSz="1463675"/>
            <a:endParaRPr lang="en-US" sz="1000">
              <a:solidFill>
                <a:schemeClr val="bg2"/>
              </a:solidFill>
            </a:endParaRPr>
          </a:p>
        </xdr:txBody>
      </xdr:sp>
    </xdr:grpSp>
    <xdr:clientData/>
  </xdr:twoCellAnchor>
  <xdr:twoCellAnchor editAs="oneCell">
    <xdr:from>
      <xdr:col>2</xdr:col>
      <xdr:colOff>0</xdr:colOff>
      <xdr:row>30</xdr:row>
      <xdr:rowOff>103128</xdr:rowOff>
    </xdr:from>
    <xdr:to>
      <xdr:col>2</xdr:col>
      <xdr:colOff>365760</xdr:colOff>
      <xdr:row>32</xdr:row>
      <xdr:rowOff>82487</xdr:rowOff>
    </xdr:to>
    <xdr:pic>
      <xdr:nvPicPr>
        <xdr:cNvPr id="52" name="Picture 51" descr="L:\Public\Share\ABC Templates and Resources\EAB Templates and Resources\EAB Art Icons Logos\EAB Icons\Speech_bubbles.png"/>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27464" y="7097199"/>
          <a:ext cx="365760" cy="278716"/>
        </a:xfrm>
        <a:prstGeom prst="rect">
          <a:avLst/>
        </a:prstGeom>
        <a:noFill/>
        <a:ln>
          <a:noFill/>
        </a:ln>
      </xdr:spPr>
    </xdr:pic>
    <xdr:clientData/>
  </xdr:twoCellAnchor>
  <xdr:twoCellAnchor>
    <xdr:from>
      <xdr:col>2</xdr:col>
      <xdr:colOff>219126</xdr:colOff>
      <xdr:row>19</xdr:row>
      <xdr:rowOff>210695</xdr:rowOff>
    </xdr:from>
    <xdr:to>
      <xdr:col>3</xdr:col>
      <xdr:colOff>481692</xdr:colOff>
      <xdr:row>22</xdr:row>
      <xdr:rowOff>12826</xdr:rowOff>
    </xdr:to>
    <xdr:sp macro="" textlink="S21">
      <xdr:nvSpPr>
        <xdr:cNvPr id="22" name="TextBox 40"/>
        <xdr:cNvSpPr txBox="1"/>
      </xdr:nvSpPr>
      <xdr:spPr bwMode="gray">
        <a:xfrm>
          <a:off x="2247951" y="4935095"/>
          <a:ext cx="853116" cy="354581"/>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41031503-2E9E-4559-A03D-D8ADBF87F4C8}" type="TxLink">
            <a:rPr lang="en-US" sz="900" b="0" i="0" u="none" strike="noStrike">
              <a:solidFill>
                <a:srgbClr val="4F5861"/>
              </a:solidFill>
              <a:latin typeface="Verdana"/>
              <a:ea typeface="Verdana"/>
              <a:cs typeface="Verdana"/>
            </a:rPr>
            <a:pPr/>
            <a:t>n=255</a:t>
          </a:fld>
          <a:endParaRPr lang="en-US" sz="2500">
            <a:solidFill>
              <a:schemeClr val="accent6"/>
            </a:solidFill>
            <a:latin typeface="+mj-lt"/>
          </a:endParaRPr>
        </a:p>
      </xdr:txBody>
    </xdr:sp>
    <xdr:clientData/>
  </xdr:twoCellAnchor>
  <xdr:twoCellAnchor>
    <xdr:from>
      <xdr:col>0</xdr:col>
      <xdr:colOff>0</xdr:colOff>
      <xdr:row>2</xdr:row>
      <xdr:rowOff>0</xdr:rowOff>
    </xdr:from>
    <xdr:to>
      <xdr:col>1</xdr:col>
      <xdr:colOff>28567</xdr:colOff>
      <xdr:row>27</xdr:row>
      <xdr:rowOff>21425</xdr:rowOff>
    </xdr:to>
    <xdr:grpSp>
      <xdr:nvGrpSpPr>
        <xdr:cNvPr id="44" name="Group 43"/>
        <xdr:cNvGrpSpPr/>
      </xdr:nvGrpSpPr>
      <xdr:grpSpPr>
        <a:xfrm>
          <a:off x="0" y="1047750"/>
          <a:ext cx="1785400" cy="5387175"/>
          <a:chOff x="0" y="1052763"/>
          <a:chExt cx="1784684" cy="5387175"/>
        </a:xfrm>
      </xdr:grpSpPr>
      <xdr:sp macro="" textlink="">
        <xdr:nvSpPr>
          <xdr:cNvPr id="45" name="TextBox 44"/>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47" name="TextBox 46">
            <a:hlinkClick xmlns:r="http://schemas.openxmlformats.org/officeDocument/2006/relationships" r:id="rId9"/>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48" name="TextBox 47">
            <a:hlinkClick xmlns:r="http://schemas.openxmlformats.org/officeDocument/2006/relationships" r:id="rId10"/>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49" name="TextBox 48">
            <a:hlinkClick xmlns:r="http://schemas.openxmlformats.org/officeDocument/2006/relationships" r:id="rId11"/>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50" name="TextBox 49">
            <a:hlinkClick xmlns:r="http://schemas.openxmlformats.org/officeDocument/2006/relationships" r:id="rId12"/>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51" name="TextBox 50">
            <a:hlinkClick xmlns:r="http://schemas.openxmlformats.org/officeDocument/2006/relationships" r:id="rId13"/>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53" name="TextBox 52">
            <a:hlinkClick xmlns:r="http://schemas.openxmlformats.org/officeDocument/2006/relationships" r:id="rId3"/>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54" name="TextBox 53">
            <a:hlinkClick xmlns:r="http://schemas.openxmlformats.org/officeDocument/2006/relationships" r:id="rId14"/>
          </xdr:cNvPr>
          <xdr:cNvSpPr txBox="1"/>
        </xdr:nvSpPr>
        <xdr:spPr bwMode="gray">
          <a:xfrm>
            <a:off x="0" y="6165618"/>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sp macro="" textlink="">
        <xdr:nvSpPr>
          <xdr:cNvPr id="61" name="TextBox 60">
            <a:hlinkClick xmlns:r="http://schemas.openxmlformats.org/officeDocument/2006/relationships" r:id="rId15"/>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62" name="TextBox 61">
            <a:hlinkClick xmlns:r="http://schemas.openxmlformats.org/officeDocument/2006/relationships" r:id="rId16"/>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63" name="TextBox 62">
            <a:hlinkClick xmlns:r="http://schemas.openxmlformats.org/officeDocument/2006/relationships" r:id="rId17"/>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64" name="TextBox 63">
            <a:hlinkClick xmlns:r="http://schemas.openxmlformats.org/officeDocument/2006/relationships" r:id="rId18"/>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65" name="TextBox 64">
            <a:hlinkClick xmlns:r="http://schemas.openxmlformats.org/officeDocument/2006/relationships" r:id="rId5"/>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66" name="TextBox 65">
            <a:hlinkClick xmlns:r="http://schemas.openxmlformats.org/officeDocument/2006/relationships" r:id="rId19"/>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clientData/>
  </xdr:twoCellAnchor>
</xdr:wsDr>
</file>

<file path=xl/tables/table1.xml><?xml version="1.0" encoding="utf-8"?>
<table xmlns="http://schemas.openxmlformats.org/spreadsheetml/2006/main" id="1" name="Table1" displayName="Table1" ref="S2:U8" totalsRowShown="0" headerRowDxfId="205" headerRowBorderDxfId="204" tableBorderDxfId="203" totalsRowBorderDxfId="202">
  <autoFilter ref="S2:U8"/>
  <tableColumns count="3">
    <tableColumn id="1" name="Class Standing" dataDxfId="201"/>
    <tableColumn id="2" name="Percent" dataDxfId="200" dataCellStyle="Percent"/>
    <tableColumn id="3" name="Count" dataDxfId="199"/>
  </tableColumns>
  <tableStyleInfo name="TableStyleLight1" showFirstColumn="0" showLastColumn="0" showRowStripes="1" showColumnStripes="0"/>
</table>
</file>

<file path=xl/tables/table10.xml><?xml version="1.0" encoding="utf-8"?>
<table xmlns="http://schemas.openxmlformats.org/spreadsheetml/2006/main" id="10" name="Table10" displayName="Table10" ref="O9:R14" totalsRowShown="0" headerRowDxfId="135" headerRowBorderDxfId="134" tableBorderDxfId="133" totalsRowBorderDxfId="132">
  <autoFilter ref="O9:R14"/>
  <sortState ref="O10:R14">
    <sortCondition descending="1" ref="P9:P14"/>
  </sortState>
  <tableColumns count="4">
    <tableColumn id="1" name="Percent of students who agreed/strongly agreed that the training was useful in increasing their knowledge of…" dataDxfId="131"/>
    <tableColumn id="2" name="Percent" dataDxfId="130" dataCellStyle="Percent"/>
    <tableColumn id="3" name="Count" dataDxfId="129"/>
    <tableColumn id="4" name="Individual N" dataDxfId="128"/>
  </tableColumns>
  <tableStyleInfo name="TableStyleLight1" showFirstColumn="0" showLastColumn="0" showRowStripes="1" showColumnStripes="0"/>
</table>
</file>

<file path=xl/tables/table11.xml><?xml version="1.0" encoding="utf-8"?>
<table xmlns="http://schemas.openxmlformats.org/spreadsheetml/2006/main" id="11" name="Table11" displayName="Table11" ref="O18:R22" totalsRowShown="0" headerRowDxfId="127" headerRowBorderDxfId="126" tableBorderDxfId="125" totalsRowBorderDxfId="124">
  <autoFilter ref="O18:R22"/>
  <sortState ref="O19:R22">
    <sortCondition ref="P18:P22"/>
  </sortState>
  <tableColumns count="4">
    <tableColumn id="1" name="Percent of students who agreed/strongly agreed with the following statements…"/>
    <tableColumn id="2" name="Percent" dataDxfId="123" dataCellStyle="Percent"/>
    <tableColumn id="3" name="Count" dataDxfId="122"/>
    <tableColumn id="4" name="Individual N" dataDxfId="121"/>
  </tableColumns>
  <tableStyleInfo name="TableStyleLight1" showFirstColumn="0" showLastColumn="0" showRowStripes="1" showColumnStripes="0"/>
</table>
</file>

<file path=xl/tables/table12.xml><?xml version="1.0" encoding="utf-8"?>
<table xmlns="http://schemas.openxmlformats.org/spreadsheetml/2006/main" id="12" name="Table12" displayName="Table12" ref="O31:R40" totalsRowShown="0" headerRowBorderDxfId="120" tableBorderDxfId="119" totalsRowBorderDxfId="118">
  <autoFilter ref="O31:R40"/>
  <tableColumns count="4">
    <tableColumn id="1" name="Where did you receive prevention training" dataDxfId="117"/>
    <tableColumn id="2" name="Percent" dataDxfId="116"/>
    <tableColumn id="3" name="Count" dataDxfId="115"/>
    <tableColumn id="4" name="Sort Order" dataDxfId="114"/>
  </tableColumns>
  <tableStyleInfo name="TableStyleLight1" showFirstColumn="0" showLastColumn="0" showRowStripes="1" showColumnStripes="0"/>
</table>
</file>

<file path=xl/tables/table13.xml><?xml version="1.0" encoding="utf-8"?>
<table xmlns="http://schemas.openxmlformats.org/spreadsheetml/2006/main" id="13" name="Table13" displayName="Table13" ref="P4:W9" totalsRowShown="0" headerRowDxfId="113" headerRowBorderDxfId="112" tableBorderDxfId="111" totalsRowBorderDxfId="110">
  <autoFilter ref="P4:W9"/>
  <sortState ref="P5:W9">
    <sortCondition ref="S4:S9"/>
  </sortState>
  <tableColumns count="8">
    <tableColumn id="1" name="Since the beginning of the school year, have you had any of the following experiences…"/>
    <tableColumn id="2" name="Yes once count" dataDxfId="109"/>
    <tableColumn id="3" name="Yes, more than once count" dataDxfId="108"/>
    <tableColumn id="4" name="Yes, one or more times count" dataDxfId="107"/>
    <tableColumn id="5" name="Unsure count" dataDxfId="106" dataCellStyle="Percent"/>
    <tableColumn id="6" name="Yes, one or more times %" dataDxfId="105" dataCellStyle="Percent"/>
    <tableColumn id="7" name="Unsure %" dataDxfId="104" dataCellStyle="Percent"/>
    <tableColumn id="8" name="Individual N" dataDxfId="103"/>
  </tableColumns>
  <tableStyleInfo name="TableStyleLight1" showFirstColumn="0" showLastColumn="0" showRowStripes="1" showColumnStripes="0"/>
</table>
</file>

<file path=xl/tables/table14.xml><?xml version="1.0" encoding="utf-8"?>
<table xmlns="http://schemas.openxmlformats.org/spreadsheetml/2006/main" id="14" name="Table14" displayName="Table14" ref="R3:W10" totalsRowShown="0" headerRowDxfId="102" headerRowBorderDxfId="101" tableBorderDxfId="100" totalsRowBorderDxfId="99">
  <autoFilter ref="R3:W10"/>
  <sortState ref="R4:W10">
    <sortCondition ref="S3:S10"/>
  </sortState>
  <tableColumns count="6">
    <tableColumn id="1" name="Did the person(s) who did one or more of the behaviors listed above do them by…" dataDxfId="98"/>
    <tableColumn id="2" name="Yes" dataDxfId="97" dataCellStyle="Percent"/>
    <tableColumn id="3" name="Yes Count" dataDxfId="96" dataCellStyle="Normal_perp behavior"/>
    <tableColumn id="4" name="Unsure " dataDxfId="95" dataCellStyle="Percent"/>
    <tableColumn id="5" name="Unsure Count" dataDxfId="94" dataCellStyle="Normal_perp behavior"/>
    <tableColumn id="6" name="Individual N" dataDxfId="93"/>
  </tableColumns>
  <tableStyleInfo name="TableStyleLight1" showFirstColumn="0" showLastColumn="0" showRowStripes="1" showColumnStripes="0"/>
</table>
</file>

<file path=xl/tables/table15.xml><?xml version="1.0" encoding="utf-8"?>
<table xmlns="http://schemas.openxmlformats.org/spreadsheetml/2006/main" id="15" name="Table15" displayName="Table15" ref="R14:T21" totalsRowShown="0" headerRowBorderDxfId="92" tableBorderDxfId="91" totalsRowBorderDxfId="90">
  <autoFilter ref="R14:T21"/>
  <sortState ref="R15:T21">
    <sortCondition descending="1" ref="S14:S21"/>
  </sortState>
  <tableColumns count="3">
    <tableColumn id="1" name="What is/was your relationship with the person who conducted this unwanted behavior?" dataDxfId="89"/>
    <tableColumn id="2" name="Percent" dataDxfId="88" dataCellStyle="Percent"/>
    <tableColumn id="3" name="Count" dataDxfId="87"/>
  </tableColumns>
  <tableStyleInfo name="TableStyleLight1" showFirstColumn="0" showLastColumn="0" showRowStripes="1" showColumnStripes="0"/>
</table>
</file>

<file path=xl/tables/table16.xml><?xml version="1.0" encoding="utf-8"?>
<table xmlns="http://schemas.openxmlformats.org/spreadsheetml/2006/main" id="16" name="Table16" displayName="Table16" ref="R27:T34" totalsRowShown="0" headerRowBorderDxfId="86" tableBorderDxfId="85" totalsRowBorderDxfId="84">
  <autoFilter ref="R27:T34"/>
  <sortState ref="R28:T34">
    <sortCondition descending="1" ref="S27:S34"/>
  </sortState>
  <tableColumns count="3">
    <tableColumn id="1" name="Where did the incident occur?" dataDxfId="83"/>
    <tableColumn id="2" name="Percent" dataDxfId="82" dataCellStyle="Percent"/>
    <tableColumn id="3" name="Count" dataDxfId="81" dataCellStyle="Percent"/>
  </tableColumns>
  <tableStyleInfo name="TableStyleLight1" showFirstColumn="0" showLastColumn="0" showRowStripes="1" showColumnStripes="0"/>
</table>
</file>

<file path=xl/tables/table17.xml><?xml version="1.0" encoding="utf-8"?>
<table xmlns="http://schemas.openxmlformats.org/spreadsheetml/2006/main" id="17" name="Table17" displayName="Table17" ref="R2:T11" totalsRowShown="0" headerRowBorderDxfId="80" tableBorderDxfId="79" totalsRowBorderDxfId="78">
  <autoFilter ref="R2:T11"/>
  <sortState ref="R3:T11">
    <sortCondition descending="1" ref="S2:S11"/>
  </sortState>
  <tableColumns count="3">
    <tableColumn id="1" name="Who did you tell about the incident?" dataDxfId="77"/>
    <tableColumn id="2" name="Percent" dataDxfId="76" dataCellStyle="Percent"/>
    <tableColumn id="3" name="Count" dataDxfId="75"/>
  </tableColumns>
  <tableStyleInfo name="TableStyleLight1" showFirstColumn="0" showLastColumn="0" showRowStripes="1" showColumnStripes="0"/>
</table>
</file>

<file path=xl/tables/table18.xml><?xml version="1.0" encoding="utf-8"?>
<table xmlns="http://schemas.openxmlformats.org/spreadsheetml/2006/main" id="18" name="Table18" displayName="Table18" ref="R18:T26" totalsRowShown="0" headerRowBorderDxfId="74" tableBorderDxfId="73" totalsRowBorderDxfId="72">
  <autoFilter ref="R18:T26"/>
  <sortState ref="R19:T26">
    <sortCondition descending="1" ref="S18:S26"/>
  </sortState>
  <tableColumns count="3">
    <tableColumn id="1" name="What kind of responses did you receive from those you told or reported to?" dataDxfId="71"/>
    <tableColumn id="2" name="Percent" dataDxfId="70"/>
    <tableColumn id="3" name="Count" dataDxfId="69"/>
  </tableColumns>
  <tableStyleInfo name="TableStyleLight1" showFirstColumn="0" showLastColumn="0" showRowStripes="1" showColumnStripes="0"/>
</table>
</file>

<file path=xl/tables/table19.xml><?xml version="1.0" encoding="utf-8"?>
<table xmlns="http://schemas.openxmlformats.org/spreadsheetml/2006/main" id="19" name="Table19" displayName="Table19" ref="R35:T46" totalsRowShown="0" headerRowBorderDxfId="68" tableBorderDxfId="67" totalsRowBorderDxfId="66">
  <autoFilter ref="R35:T46"/>
  <sortState ref="R36:T46">
    <sortCondition ref="S35:S46"/>
  </sortState>
  <tableColumns count="3">
    <tableColumn id="1" name="What thoughts or concerns crossed your mind when you were deciding whether to report your experience?" dataDxfId="65"/>
    <tableColumn id="2" name="Percent" dataDxfId="64" dataCellStyle="Percent"/>
    <tableColumn id="3" name="Count" dataDxfId="63"/>
  </tableColumns>
  <tableStyleInfo name="TableStyleLight1" showFirstColumn="0" showLastColumn="0" showRowStripes="1" showColumnStripes="0"/>
</table>
</file>

<file path=xl/tables/table2.xml><?xml version="1.0" encoding="utf-8"?>
<table xmlns="http://schemas.openxmlformats.org/spreadsheetml/2006/main" id="2" name="Table2" displayName="Table2" ref="S11:V17" totalsRowShown="0" headerRowDxfId="198" headerRowBorderDxfId="197" tableBorderDxfId="196" totalsRowBorderDxfId="195">
  <autoFilter ref="S11:V17"/>
  <sortState ref="S12:V17">
    <sortCondition ref="V11:V17"/>
  </sortState>
  <tableColumns count="4">
    <tableColumn id="1" name="Residence" dataDxfId="194"/>
    <tableColumn id="2" name="Percent" dataDxfId="193"/>
    <tableColumn id="3" name="Count" dataDxfId="192"/>
    <tableColumn id="5" name="Sort Order" dataDxfId="191"/>
  </tableColumns>
  <tableStyleInfo name="TableStyleLight1" showFirstColumn="0" showLastColumn="0" showRowStripes="1" showColumnStripes="0"/>
</table>
</file>

<file path=xl/tables/table20.xml><?xml version="1.0" encoding="utf-8"?>
<table xmlns="http://schemas.openxmlformats.org/spreadsheetml/2006/main" id="20" name="Table20" displayName="Table20" ref="N48:P57" totalsRowShown="0" headerRowDxfId="62" headerRowBorderDxfId="61" tableBorderDxfId="60" totalsRowBorderDxfId="59">
  <autoFilter ref="N48:P57"/>
  <sortState ref="N49:P57">
    <sortCondition descending="1" ref="O48:O57"/>
  </sortState>
  <tableColumns count="3">
    <tableColumn id="1" name="Who did you tell about the incident?" dataDxfId="58"/>
    <tableColumn id="2" name="Percent" dataDxfId="57"/>
    <tableColumn id="3" name="Count" dataDxfId="56"/>
  </tableColumns>
  <tableStyleInfo name="TableStyleLight1" showFirstColumn="0" showLastColumn="0" showRowStripes="1" showColumnStripes="0"/>
</table>
</file>

<file path=xl/tables/table21.xml><?xml version="1.0" encoding="utf-8"?>
<table xmlns="http://schemas.openxmlformats.org/spreadsheetml/2006/main" id="21" name="Table21" displayName="Table21" ref="N32:P39" totalsRowShown="0" headerRowBorderDxfId="55" tableBorderDxfId="54" totalsRowBorderDxfId="53">
  <autoFilter ref="N32:P39"/>
  <sortState ref="N33:P39">
    <sortCondition descending="1" ref="O32:O39"/>
  </sortState>
  <tableColumns count="3">
    <tableColumn id="1" name="Relationship" dataDxfId="52"/>
    <tableColumn id="2" name="Percent" dataDxfId="51" dataCellStyle="Percent"/>
    <tableColumn id="3" name="Count" dataDxfId="50"/>
  </tableColumns>
  <tableStyleInfo name="TableStyleLight1" showFirstColumn="0" showLastColumn="0" showRowStripes="1" showColumnStripes="0"/>
</table>
</file>

<file path=xl/tables/table22.xml><?xml version="1.0" encoding="utf-8"?>
<table xmlns="http://schemas.openxmlformats.org/spreadsheetml/2006/main" id="22" name="Table22" displayName="Table22" ref="N24:P29" totalsRowShown="0" headerRowDxfId="49" headerRowBorderDxfId="48" tableBorderDxfId="47" totalsRowBorderDxfId="46">
  <autoFilter ref="N24:P29"/>
  <tableColumns count="3">
    <tableColumn id="1" name="Percent of respondents who say that the school's formal procedures did the following (n=20)" dataDxfId="45"/>
    <tableColumn id="2" name="Percent" dataDxfId="44" dataCellStyle="Percent"/>
    <tableColumn id="3" name="Count" dataDxfId="43"/>
  </tableColumns>
  <tableStyleInfo name="TableStyleLight1" showFirstColumn="0" showLastColumn="0" showRowStripes="1" showColumnStripes="0"/>
</table>
</file>

<file path=xl/tables/table23.xml><?xml version="1.0" encoding="utf-8"?>
<table xmlns="http://schemas.openxmlformats.org/spreadsheetml/2006/main" id="23" name="Table23" displayName="Table23" ref="N3:Q12" totalsRowShown="0" headerRowDxfId="42" headerRowBorderDxfId="41" tableBorderDxfId="40" totalsRowBorderDxfId="39">
  <autoFilter ref="N3:Q12"/>
  <sortState ref="N4:Q12">
    <sortCondition ref="O3:O12"/>
  </sortState>
  <tableColumns count="4">
    <tableColumn id="1" name="Has anyone frightened, concerned, angered, or annoyed you by…" dataDxfId="38"/>
    <tableColumn id="2" name="Percent" dataDxfId="37" dataCellStyle="Percent"/>
    <tableColumn id="3" name="Count" dataDxfId="36"/>
    <tableColumn id="4" name="Sort Order" dataDxfId="35"/>
  </tableColumns>
  <tableStyleInfo name="TableStyleLight1" showFirstColumn="0" showLastColumn="0" showRowStripes="1" showColumnStripes="0"/>
</table>
</file>

<file path=xl/tables/table24.xml><?xml version="1.0" encoding="utf-8"?>
<table xmlns="http://schemas.openxmlformats.org/spreadsheetml/2006/main" id="24" name="Table24" displayName="Table24" ref="N17:Q20" totalsRowShown="0" headerRowBorderDxfId="34" tableBorderDxfId="33" totalsRowBorderDxfId="32">
  <autoFilter ref="N17:Q20"/>
  <sortState ref="N18:Q20">
    <sortCondition descending="1" ref="O17:O20"/>
  </sortState>
  <tableColumns count="4">
    <tableColumn id="1" name="What happened after the incident?" dataDxfId="31"/>
    <tableColumn id="2" name="Count Yes"/>
    <tableColumn id="3" name="Count No" dataDxfId="30"/>
    <tableColumn id="4" name="N Value" dataDxfId="29"/>
  </tableColumns>
  <tableStyleInfo name="TableStyleLight1" showFirstColumn="0" showLastColumn="0" showRowStripes="1" showColumnStripes="0"/>
</table>
</file>

<file path=xl/tables/table25.xml><?xml version="1.0" encoding="utf-8"?>
<table xmlns="http://schemas.openxmlformats.org/spreadsheetml/2006/main" id="25" name="Table25" displayName="Table25" ref="N12:U16" totalsRowShown="0" headerRowDxfId="28" headerRowBorderDxfId="27" tableBorderDxfId="26" totalsRowBorderDxfId="25">
  <autoFilter ref="N12:U16"/>
  <tableColumns count="8">
    <tableColumn id="1" name="Percent of respondents who rate themselves as likely/very likely to engage in the following behaviors compared to their peers " dataDxfId="24"/>
    <tableColumn id="2" name="Peers Count" dataDxfId="23"/>
    <tableColumn id="3" name="Self Count" dataDxfId="22"/>
    <tableColumn id="4" name="Peers" dataDxfId="21" dataCellStyle="Percent">
      <calculatedColumnFormula>O13/T13</calculatedColumnFormula>
    </tableColumn>
    <tableColumn id="5" name="Self" dataDxfId="20" dataCellStyle="Percent">
      <calculatedColumnFormula>P13/S13</calculatedColumnFormula>
    </tableColumn>
    <tableColumn id="6" name="Self n" dataDxfId="19"/>
    <tableColumn id="7" name="Peer n" dataDxfId="18"/>
    <tableColumn id="8" name="Avg n"/>
  </tableColumns>
  <tableStyleInfo name="TableStyleLight1" showFirstColumn="0" showLastColumn="0" showRowStripes="1" showColumnStripes="0"/>
</table>
</file>

<file path=xl/tables/table26.xml><?xml version="1.0" encoding="utf-8"?>
<table xmlns="http://schemas.openxmlformats.org/spreadsheetml/2006/main" id="26" name="Table26" displayName="Table26" ref="N19:P27" totalsRowShown="0" headerRowDxfId="17" headerRowBorderDxfId="16" tableBorderDxfId="15" totalsRowBorderDxfId="14">
  <autoFilter ref="N19:P27"/>
  <tableColumns count="3">
    <tableColumn id="1" name="In response to this situation:" dataDxfId="13"/>
    <tableColumn id="2" name="Percent" dataDxfId="12" dataCellStyle="Percent">
      <calculatedColumnFormula>P20/$P$29</calculatedColumnFormula>
    </tableColumn>
    <tableColumn id="3" name="Count" dataDxfId="11"/>
  </tableColumns>
  <tableStyleInfo name="TableStyleLight1" showFirstColumn="0" showLastColumn="0" showRowStripes="1" showColumnStripes="0"/>
</table>
</file>

<file path=xl/tables/table27.xml><?xml version="1.0" encoding="utf-8"?>
<table xmlns="http://schemas.openxmlformats.org/spreadsheetml/2006/main" id="27" name="Table27" displayName="Table27" ref="N5:X15" totalsRowShown="0" tableBorderDxfId="10">
  <autoFilter ref="N5:X15"/>
  <tableColumns count="11">
    <tableColumn id="1" name="Percent of respondents who agreed/strongly agreed with the following statements"/>
    <tableColumn id="2" name="Percent Agreed/_x000a_Strongly Agreed" dataDxfId="9">
      <calculatedColumnFormula>S6/X6</calculatedColumnFormula>
    </tableColumn>
    <tableColumn id="3" name="Percent Unsure" dataDxfId="8">
      <calculatedColumnFormula>W6/X6</calculatedColumnFormula>
    </tableColumn>
    <tableColumn id="4" name="Agree Count" dataDxfId="7"/>
    <tableColumn id="5" name="Strongly Agree Count" dataDxfId="6"/>
    <tableColumn id="6" name="Agreed/Strongly Agreed Count" dataDxfId="5"/>
    <tableColumn id="7" name="Disagree Count" dataDxfId="4"/>
    <tableColumn id="8" name="Strongly Disagree Count" dataDxfId="3"/>
    <tableColumn id="9" name="Disagree/Strongly Disagree Count" dataDxfId="2"/>
    <tableColumn id="10" name="Unsure Count" dataDxfId="1"/>
    <tableColumn id="11" name="N" dataDxfId="0">
      <calculatedColumnFormula>S6+V6+W6</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3" displayName="Table3" ref="S21:V30" totalsRowShown="0" headerRowDxfId="190" headerRowBorderDxfId="189" tableBorderDxfId="188" totalsRowBorderDxfId="187">
  <autoFilter ref="S21:V30"/>
  <sortState ref="S22:V30">
    <sortCondition descending="1" ref="V21:V30"/>
  </sortState>
  <tableColumns count="4">
    <tableColumn id="1" name="Participation in Student Groups" dataDxfId="186"/>
    <tableColumn id="2" name="Percent" dataDxfId="185" dataCellStyle="Percent"/>
    <tableColumn id="3" name="Count" dataDxfId="184"/>
    <tableColumn id="4" name="Sort Order" dataDxfId="183"/>
  </tableColumns>
  <tableStyleInfo name="TableStyleLight1" showFirstColumn="0" showLastColumn="0" showRowStripes="1" showColumnStripes="0"/>
</table>
</file>

<file path=xl/tables/table4.xml><?xml version="1.0" encoding="utf-8"?>
<table xmlns="http://schemas.openxmlformats.org/spreadsheetml/2006/main" id="4" name="Table4" displayName="Table4" ref="S36:U43" totalsRowShown="0" headerRowDxfId="182" headerRowBorderDxfId="181" tableBorderDxfId="180" totalsRowBorderDxfId="179">
  <autoFilter ref="S36:U43"/>
  <tableColumns count="3">
    <tableColumn id="1" name="Race" dataDxfId="178"/>
    <tableColumn id="2" name="Percent" dataDxfId="177" dataCellStyle="Percent"/>
    <tableColumn id="3" name="Count" dataDxfId="176"/>
  </tableColumns>
  <tableStyleInfo name="TableStyleLight1" showFirstColumn="0" showLastColumn="0" showRowStripes="1" showColumnStripes="0"/>
</table>
</file>

<file path=xl/tables/table5.xml><?xml version="1.0" encoding="utf-8"?>
<table xmlns="http://schemas.openxmlformats.org/spreadsheetml/2006/main" id="5" name="Table5" displayName="Table5" ref="S52:U54" totalsRowShown="0" headerRowDxfId="175" headerRowBorderDxfId="174" tableBorderDxfId="173" totalsRowBorderDxfId="172">
  <autoFilter ref="S52:U54"/>
  <tableColumns count="3">
    <tableColumn id="1" name="Gender" dataDxfId="171"/>
    <tableColumn id="2" name="Percent" dataDxfId="170" dataCellStyle="Percent"/>
    <tableColumn id="3" name="Count"/>
  </tableColumns>
  <tableStyleInfo name="TableStyleLight1" showFirstColumn="0" showLastColumn="0" showRowStripes="1" showColumnStripes="0"/>
</table>
</file>

<file path=xl/tables/table6.xml><?xml version="1.0" encoding="utf-8"?>
<table xmlns="http://schemas.openxmlformats.org/spreadsheetml/2006/main" id="6" name="Table6" displayName="Table6" ref="S57:U60" totalsRowShown="0" headerRowDxfId="169" headerRowBorderDxfId="168" tableBorderDxfId="167" totalsRowBorderDxfId="166">
  <autoFilter ref="S57:U60"/>
  <tableColumns count="3">
    <tableColumn id="1" name="Sexual Orientation" dataDxfId="165"/>
    <tableColumn id="2" name="Percent" dataDxfId="164" dataCellStyle="Percent"/>
    <tableColumn id="3" name="Count" dataDxfId="163"/>
  </tableColumns>
  <tableStyleInfo name="TableStyleLight1" showFirstColumn="0" showLastColumn="0" showRowStripes="1" showColumnStripes="0"/>
</table>
</file>

<file path=xl/tables/table7.xml><?xml version="1.0" encoding="utf-8"?>
<table xmlns="http://schemas.openxmlformats.org/spreadsheetml/2006/main" id="7" name="Table7" displayName="Table7" ref="P2:S6" totalsRowShown="0" headerRowDxfId="162" headerRowBorderDxfId="161" tableBorderDxfId="160" totalsRowBorderDxfId="159">
  <autoFilter ref="P2:S6"/>
  <sortState ref="P3:S6">
    <sortCondition ref="Q2:Q6"/>
  </sortState>
  <tableColumns count="4">
    <tableColumn id="1" name="Perceptions of Campus Climate"/>
    <tableColumn id="2" name="Percent" dataDxfId="158" dataCellStyle="Percent"/>
    <tableColumn id="3" name="Count" dataDxfId="157"/>
    <tableColumn id="4" name="Individual N" dataDxfId="156"/>
  </tableColumns>
  <tableStyleInfo name="TableStyleLight1" showFirstColumn="0" showLastColumn="0" showRowStripes="1" showColumnStripes="0"/>
</table>
</file>

<file path=xl/tables/table8.xml><?xml version="1.0" encoding="utf-8"?>
<table xmlns="http://schemas.openxmlformats.org/spreadsheetml/2006/main" id="8" name="Table8" displayName="Table8" ref="P11:S15" totalsRowShown="0" headerRowDxfId="155" headerRowBorderDxfId="154" tableBorderDxfId="153" totalsRowBorderDxfId="152">
  <autoFilter ref="P11:S15"/>
  <sortState ref="P12:S15">
    <sortCondition ref="Q11:Q15"/>
  </sortState>
  <tableColumns count="4">
    <tableColumn id="1" name="If someone were to report an incident of sexual violence to a campus authority:" dataDxfId="151"/>
    <tableColumn id="2" name="Percent" dataDxfId="150"/>
    <tableColumn id="3" name="Count" dataDxfId="149"/>
    <tableColumn id="4" name="Individual N" dataDxfId="148"/>
  </tableColumns>
  <tableStyleInfo name="TableStyleLight1" showFirstColumn="0" showLastColumn="0" showRowStripes="1" showColumnStripes="0"/>
</table>
</file>

<file path=xl/tables/table9.xml><?xml version="1.0" encoding="utf-8"?>
<table xmlns="http://schemas.openxmlformats.org/spreadsheetml/2006/main" id="9" name="Table9" displayName="Table9" ref="P20:V24" totalsRowShown="0" headerRowDxfId="147" dataDxfId="145" headerRowBorderDxfId="146" tableBorderDxfId="144" totalsRowBorderDxfId="143">
  <autoFilter ref="P20:V24"/>
  <sortState ref="P21:V24">
    <sortCondition ref="Q20:Q24"/>
  </sortState>
  <tableColumns count="7">
    <tableColumn id="1" name="Has anyone done the following to you since the beginning of the school year?" dataDxfId="142"/>
    <tableColumn id="2" name="%" dataDxfId="141"/>
    <tableColumn id="3" name="Respondent YES Count" dataDxfId="140"/>
    <tableColumn id="4" name="Class Count" dataDxfId="139"/>
    <tableColumn id="5" name="Social Count" dataDxfId="138"/>
    <tableColumn id="6" name="Other Count" dataDxfId="137"/>
    <tableColumn id="7" name="Incident Count" dataDxfId="136"/>
  </tableColumns>
  <tableStyleInfo name="TableStyleLight1" showFirstColumn="0" showLastColumn="0" showRowStripes="1" showColumnStripes="0"/>
</table>
</file>

<file path=xl/theme/theme1.xml><?xml version="1.0" encoding="utf-8"?>
<a:theme xmlns:a="http://schemas.openxmlformats.org/drawingml/2006/main" name="ABC_020513">
  <a:themeElements>
    <a:clrScheme name="EAB January 2015">
      <a:dk1>
        <a:srgbClr val="4F5861"/>
      </a:dk1>
      <a:lt1>
        <a:srgbClr val="FFFFFF"/>
      </a:lt1>
      <a:dk2>
        <a:srgbClr val="F28B00"/>
      </a:dk2>
      <a:lt2>
        <a:srgbClr val="DEE0E0"/>
      </a:lt2>
      <a:accent1>
        <a:srgbClr val="C8CACC"/>
      </a:accent1>
      <a:accent2>
        <a:srgbClr val="A0A4A9"/>
      </a:accent2>
      <a:accent3>
        <a:srgbClr val="797F86"/>
      </a:accent3>
      <a:accent4>
        <a:srgbClr val="4F5861"/>
      </a:accent4>
      <a:accent5>
        <a:srgbClr val="004A88"/>
      </a:accent5>
      <a:accent6>
        <a:srgbClr val="0070CD"/>
      </a:accent6>
      <a:hlink>
        <a:srgbClr val="0070CD"/>
      </a:hlink>
      <a:folHlink>
        <a:srgbClr val="A0A4A9"/>
      </a:folHlink>
    </a:clrScheme>
    <a:fontScheme name="EAB-Rockwell/Verdana">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noFill/>
        </a:ln>
      </a:spPr>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vertOverflow="clip" horzOverflow="clip" wrap="square" lIns="45720" rIns="45720" rtlCol="0" anchor="t">
        <a:noAutofit/>
      </a:bodyPr>
      <a:lstStyle>
        <a:defPPr marL="0" marR="0" indent="0" defTabSz="914400" eaLnBrk="1" fontAlgn="auto" latinLnBrk="0" hangingPunct="1">
          <a:lnSpc>
            <a:spcPct val="100000"/>
          </a:lnSpc>
          <a:spcBef>
            <a:spcPts val="500"/>
          </a:spcBef>
          <a:spcAft>
            <a:spcPts val="0"/>
          </a:spcAft>
          <a:buClrTx/>
          <a:buSzTx/>
          <a:buFontTx/>
          <a:buNone/>
          <a:tabLst/>
          <a:defRPr sz="1000" b="0">
            <a:solidFill>
              <a:schemeClr val="tx1"/>
            </a:solidFill>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26.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table" Target="../tables/table12.xml"/><Relationship Id="rId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16.xm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table" Target="../tables/table19.xml"/><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showRowColHeaders="0" tabSelected="1" zoomScale="90" zoomScaleNormal="90" workbookViewId="0">
      <selection activeCell="A35" sqref="A35"/>
    </sheetView>
  </sheetViews>
  <sheetFormatPr defaultColWidth="9.875" defaultRowHeight="15" customHeight="1" x14ac:dyDescent="0.15"/>
  <cols>
    <col min="1" max="1" width="23" style="19" customWidth="1"/>
    <col min="2" max="2" width="3.625" style="4" customWidth="1"/>
    <col min="3" max="4" width="9.875" style="2" customWidth="1"/>
    <col min="5" max="13" width="9.875" style="2"/>
    <col min="14" max="14" width="9.875" style="2" customWidth="1"/>
    <col min="15" max="16" width="9.875" style="2"/>
    <col min="17" max="17" width="14.625" style="2" customWidth="1"/>
    <col min="18" max="18" width="9.875" style="2" customWidth="1"/>
    <col min="19" max="16384" width="9.875" style="2"/>
  </cols>
  <sheetData>
    <row r="1" spans="1:17" ht="64.5" customHeight="1" thickBot="1" x14ac:dyDescent="0.2">
      <c r="A1" s="5"/>
      <c r="B1" s="5"/>
      <c r="C1" s="5"/>
      <c r="D1" s="5"/>
      <c r="E1" s="5"/>
      <c r="F1" s="5"/>
      <c r="G1" s="5"/>
      <c r="H1" s="5"/>
      <c r="I1" s="5"/>
      <c r="J1" s="5"/>
      <c r="K1" s="5"/>
      <c r="L1" s="5"/>
      <c r="M1" s="5"/>
      <c r="N1" s="8"/>
      <c r="Q1" s="9" t="s">
        <v>1</v>
      </c>
    </row>
    <row r="2" spans="1:17" ht="18" customHeight="1" x14ac:dyDescent="0.15">
      <c r="A2" s="428" t="s">
        <v>140</v>
      </c>
      <c r="B2" s="428"/>
      <c r="C2" s="428"/>
      <c r="D2" s="428"/>
      <c r="E2" s="428"/>
      <c r="F2" s="428"/>
      <c r="G2" s="428"/>
      <c r="H2" s="428"/>
      <c r="I2" s="428"/>
      <c r="J2" s="428"/>
      <c r="K2" s="428"/>
      <c r="L2" s="428"/>
      <c r="M2" s="428"/>
      <c r="N2" s="428"/>
      <c r="O2" s="428"/>
      <c r="P2" s="428"/>
      <c r="Q2" s="428"/>
    </row>
    <row r="4" spans="1:17" ht="15" customHeight="1" x14ac:dyDescent="0.15">
      <c r="A4" s="25"/>
    </row>
    <row r="5" spans="1:17" ht="15" customHeight="1" x14ac:dyDescent="0.15">
      <c r="E5" s="6"/>
      <c r="F5" s="6"/>
      <c r="G5" s="6"/>
      <c r="H5" s="6"/>
      <c r="I5" s="6"/>
      <c r="J5" s="6"/>
      <c r="K5" s="6"/>
      <c r="L5" s="6"/>
      <c r="M5" s="6"/>
      <c r="N5" s="6"/>
    </row>
    <row r="6" spans="1:17" ht="15" customHeight="1" x14ac:dyDescent="0.15">
      <c r="A6" s="24"/>
      <c r="B6" s="18"/>
      <c r="E6" s="6"/>
      <c r="F6" s="6"/>
      <c r="G6" s="6"/>
      <c r="H6" s="6"/>
      <c r="I6" s="6"/>
      <c r="J6" s="6"/>
      <c r="K6" s="6"/>
      <c r="L6" s="6"/>
      <c r="M6" s="6"/>
      <c r="N6" s="6"/>
    </row>
    <row r="7" spans="1:17" ht="15" customHeight="1" x14ac:dyDescent="0.15">
      <c r="A7" s="25"/>
      <c r="E7" s="17"/>
      <c r="F7" s="7"/>
      <c r="G7" s="7"/>
      <c r="H7" s="7"/>
      <c r="I7" s="7"/>
      <c r="J7" s="7"/>
      <c r="K7" s="7"/>
      <c r="L7" s="7"/>
      <c r="M7" s="7"/>
      <c r="N7" s="7"/>
    </row>
    <row r="8" spans="1:17" ht="15" customHeight="1" x14ac:dyDescent="0.15">
      <c r="A8" s="25"/>
      <c r="E8" s="16"/>
    </row>
    <row r="9" spans="1:17" s="3" customFormat="1" ht="15" customHeight="1" x14ac:dyDescent="0.15">
      <c r="A9" s="27"/>
      <c r="B9" s="1"/>
      <c r="E9" s="11"/>
    </row>
    <row r="10" spans="1:17" s="3" customFormat="1" ht="15" customHeight="1" x14ac:dyDescent="0.15">
      <c r="A10" s="20"/>
      <c r="B10" s="1"/>
      <c r="E10" s="11"/>
    </row>
    <row r="11" spans="1:17" s="3" customFormat="1" ht="15" customHeight="1" x14ac:dyDescent="0.15">
      <c r="A11" s="20"/>
      <c r="B11" s="1"/>
    </row>
    <row r="12" spans="1:17" s="3" customFormat="1" ht="15" customHeight="1" x14ac:dyDescent="0.15">
      <c r="A12" s="20"/>
      <c r="B12" s="1"/>
    </row>
    <row r="13" spans="1:17" s="3" customFormat="1" ht="15" customHeight="1" x14ac:dyDescent="0.15">
      <c r="A13" s="20"/>
      <c r="B13" s="1"/>
    </row>
    <row r="14" spans="1:17" s="3" customFormat="1" ht="15" customHeight="1" x14ac:dyDescent="0.15">
      <c r="A14" s="20"/>
      <c r="B14" s="1"/>
    </row>
  </sheetData>
  <sheetProtection password="8E6E" sheet="1" objects="1" scenarios="1" selectLockedCells="1" selectUnlockedCells="1"/>
  <mergeCells count="2">
    <mergeCell ref="A2:N2"/>
    <mergeCell ref="O2:Q2"/>
  </mergeCells>
  <pageMargins left="0.5" right="0.5" top="0.5" bottom="0.5" header="0.1" footer="0.1"/>
  <pageSetup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8"/>
  <sheetViews>
    <sheetView showGridLines="0" showRowColHeaders="0" zoomScale="90" zoomScaleNormal="90" workbookViewId="0">
      <selection activeCell="A35" sqref="A35"/>
    </sheetView>
  </sheetViews>
  <sheetFormatPr defaultColWidth="9.875" defaultRowHeight="11.25" x14ac:dyDescent="0.15"/>
  <cols>
    <col min="1" max="1" width="23" style="19" customWidth="1"/>
    <col min="2" max="2" width="3.625" style="4" customWidth="1"/>
    <col min="3" max="3" width="33.625" style="2" customWidth="1"/>
    <col min="4" max="4" width="11.75" style="2" customWidth="1"/>
    <col min="5" max="8" width="9.875" style="2" customWidth="1"/>
    <col min="9" max="9" width="21.75" style="2" customWidth="1"/>
    <col min="10" max="10" width="9.875" style="2" customWidth="1"/>
    <col min="11" max="11" width="32.5" style="2" customWidth="1"/>
    <col min="12" max="12" width="9.875" style="2"/>
    <col min="13" max="13" width="16.75" style="2" hidden="1" customWidth="1"/>
    <col min="14" max="14" width="30.875" style="2" hidden="1" customWidth="1"/>
    <col min="15" max="15" width="12.875" style="2" hidden="1" customWidth="1"/>
    <col min="16" max="16" width="22.125" style="2" hidden="1" customWidth="1"/>
    <col min="17" max="22" width="0" style="2" hidden="1" customWidth="1"/>
    <col min="23" max="16384" width="9.875" style="2"/>
  </cols>
  <sheetData>
    <row r="1" spans="1:16" ht="64.5" customHeight="1" thickBot="1" x14ac:dyDescent="0.2">
      <c r="A1" s="5"/>
      <c r="B1" s="5"/>
      <c r="C1" s="5"/>
      <c r="D1" s="5"/>
      <c r="E1" s="5"/>
      <c r="F1" s="5"/>
      <c r="G1" s="5"/>
      <c r="H1" s="5"/>
      <c r="I1" s="5"/>
      <c r="J1" s="8"/>
      <c r="K1" s="9" t="s">
        <v>1</v>
      </c>
    </row>
    <row r="2" spans="1:16" ht="18" customHeight="1" x14ac:dyDescent="0.15">
      <c r="A2" s="428" t="s">
        <v>200</v>
      </c>
      <c r="B2" s="428"/>
      <c r="C2" s="428"/>
      <c r="D2" s="428"/>
      <c r="E2" s="428"/>
      <c r="F2" s="428"/>
      <c r="G2" s="428"/>
      <c r="H2" s="428"/>
      <c r="I2" s="428"/>
      <c r="J2" s="428"/>
      <c r="K2" s="428"/>
    </row>
    <row r="3" spans="1:16" ht="15" customHeight="1" x14ac:dyDescent="0.15"/>
    <row r="4" spans="1:16" ht="15.75" customHeight="1" x14ac:dyDescent="0.15">
      <c r="A4" s="25"/>
    </row>
    <row r="5" spans="1:16" ht="15.75" customHeight="1" x14ac:dyDescent="0.15">
      <c r="D5" s="6"/>
      <c r="E5" s="6"/>
      <c r="F5" s="6"/>
      <c r="G5" s="6"/>
      <c r="I5" s="6"/>
      <c r="J5" s="6"/>
      <c r="K5" s="6"/>
      <c r="N5" s="125" t="s">
        <v>159</v>
      </c>
      <c r="O5" s="125" t="s">
        <v>6</v>
      </c>
      <c r="P5" s="125" t="s">
        <v>117</v>
      </c>
    </row>
    <row r="6" spans="1:16" ht="15.75" customHeight="1" x14ac:dyDescent="0.15">
      <c r="A6" s="24"/>
      <c r="B6" s="18"/>
      <c r="D6" s="6"/>
      <c r="E6" s="6"/>
      <c r="F6" s="6"/>
      <c r="G6" s="6"/>
      <c r="H6" s="6"/>
      <c r="I6" s="6"/>
      <c r="J6" s="6"/>
      <c r="K6" s="6"/>
      <c r="N6" s="130" t="s">
        <v>17</v>
      </c>
      <c r="O6" s="129">
        <v>7.0929070929070928E-2</v>
      </c>
      <c r="P6" s="178">
        <v>71</v>
      </c>
    </row>
    <row r="7" spans="1:16" ht="15.75" customHeight="1" x14ac:dyDescent="0.15">
      <c r="A7" s="25"/>
      <c r="D7" s="17"/>
      <c r="E7" s="7"/>
      <c r="F7" s="7"/>
      <c r="G7" s="7"/>
      <c r="H7" s="7"/>
      <c r="I7" s="7"/>
      <c r="J7" s="7"/>
      <c r="K7" s="7"/>
      <c r="N7" s="130" t="s">
        <v>18</v>
      </c>
      <c r="O7" s="129">
        <v>0.92907092907092903</v>
      </c>
      <c r="P7" s="178">
        <v>930</v>
      </c>
    </row>
    <row r="8" spans="1:16" ht="15.75" customHeight="1" x14ac:dyDescent="0.15">
      <c r="A8" s="29"/>
      <c r="D8" s="16"/>
      <c r="N8" s="10"/>
      <c r="O8" s="58" t="s">
        <v>122</v>
      </c>
      <c r="P8" s="47">
        <v>1001</v>
      </c>
    </row>
    <row r="9" spans="1:16" s="3" customFormat="1" ht="15.75" customHeight="1" x14ac:dyDescent="0.15">
      <c r="A9" s="27"/>
      <c r="B9" s="1"/>
      <c r="D9" s="11"/>
      <c r="O9" s="10"/>
    </row>
    <row r="10" spans="1:16" s="3" customFormat="1" ht="15.75" customHeight="1" x14ac:dyDescent="0.2">
      <c r="A10" s="40"/>
      <c r="B10" s="1"/>
      <c r="D10" s="11"/>
      <c r="N10" s="125" t="s">
        <v>163</v>
      </c>
      <c r="O10" s="163" t="s">
        <v>6</v>
      </c>
      <c r="P10" s="125" t="s">
        <v>117</v>
      </c>
    </row>
    <row r="11" spans="1:16" s="3" customFormat="1" ht="15.75" customHeight="1" x14ac:dyDescent="0.2">
      <c r="A11" s="40"/>
      <c r="B11" s="1"/>
      <c r="N11" s="126" t="s">
        <v>167</v>
      </c>
      <c r="O11" s="144">
        <v>0.1095890410958904</v>
      </c>
      <c r="P11" s="130">
        <v>8</v>
      </c>
    </row>
    <row r="12" spans="1:16" s="3" customFormat="1" ht="15.75" customHeight="1" x14ac:dyDescent="0.2">
      <c r="A12" s="40"/>
      <c r="B12" s="1"/>
      <c r="N12" s="126" t="s">
        <v>165</v>
      </c>
      <c r="O12" s="144">
        <v>0.26027397260273971</v>
      </c>
      <c r="P12" s="130">
        <v>19</v>
      </c>
    </row>
    <row r="13" spans="1:16" s="3" customFormat="1" ht="15.75" customHeight="1" x14ac:dyDescent="0.15">
      <c r="A13" s="20"/>
      <c r="B13" s="1"/>
      <c r="N13" s="126" t="s">
        <v>166</v>
      </c>
      <c r="O13" s="144">
        <v>0.31506849315068491</v>
      </c>
      <c r="P13" s="130">
        <v>23</v>
      </c>
    </row>
    <row r="14" spans="1:16" s="3" customFormat="1" ht="15.75" customHeight="1" x14ac:dyDescent="0.15">
      <c r="A14" s="20"/>
      <c r="B14" s="1"/>
      <c r="N14" s="126" t="s">
        <v>164</v>
      </c>
      <c r="O14" s="144">
        <v>0.31506849315068491</v>
      </c>
      <c r="P14" s="130">
        <v>23</v>
      </c>
    </row>
    <row r="15" spans="1:16" ht="17.25" customHeight="1" x14ac:dyDescent="0.15">
      <c r="N15" s="21"/>
      <c r="O15" s="46" t="s">
        <v>122</v>
      </c>
      <c r="P15" s="47">
        <v>73</v>
      </c>
    </row>
    <row r="16" spans="1:16" ht="15" customHeight="1" x14ac:dyDescent="0.15">
      <c r="N16" s="21"/>
      <c r="O16" s="42"/>
    </row>
    <row r="17" spans="3:18" ht="13.5" customHeight="1" x14ac:dyDescent="0.15">
      <c r="N17" s="273" t="s">
        <v>160</v>
      </c>
      <c r="O17" s="396" t="s">
        <v>317</v>
      </c>
      <c r="P17" s="397" t="s">
        <v>315</v>
      </c>
      <c r="Q17" s="397" t="s">
        <v>316</v>
      </c>
      <c r="R17" s="398" t="s">
        <v>190</v>
      </c>
    </row>
    <row r="18" spans="3:18" ht="15.75" customHeight="1" x14ac:dyDescent="0.15">
      <c r="D18" s="16"/>
      <c r="N18" s="280" t="s">
        <v>162</v>
      </c>
      <c r="O18" s="130">
        <v>21</v>
      </c>
      <c r="P18" s="130">
        <v>52</v>
      </c>
      <c r="Q18" s="395">
        <v>73</v>
      </c>
      <c r="R18" s="393"/>
    </row>
    <row r="19" spans="3:18" x14ac:dyDescent="0.15">
      <c r="N19" s="280" t="s">
        <v>161</v>
      </c>
      <c r="O19" s="130">
        <v>10</v>
      </c>
      <c r="P19" s="130">
        <v>63</v>
      </c>
      <c r="Q19" s="395">
        <v>73</v>
      </c>
      <c r="R19" s="394"/>
    </row>
    <row r="20" spans="3:18" ht="15.75" customHeight="1" x14ac:dyDescent="0.15">
      <c r="D20" s="51" t="s">
        <v>122</v>
      </c>
      <c r="E20" s="147">
        <f>P8</f>
        <v>1001</v>
      </c>
      <c r="N20" s="281" t="s">
        <v>319</v>
      </c>
      <c r="O20" s="351">
        <v>4</v>
      </c>
      <c r="P20" s="351">
        <v>17</v>
      </c>
      <c r="Q20" s="395">
        <v>21</v>
      </c>
      <c r="R20" s="393">
        <v>0.19047619047619047</v>
      </c>
    </row>
    <row r="21" spans="3:18" x14ac:dyDescent="0.15">
      <c r="O21" s="46" t="s">
        <v>121</v>
      </c>
      <c r="P21" s="116">
        <v>73</v>
      </c>
    </row>
    <row r="22" spans="3:18" ht="29.25" customHeight="1" x14ac:dyDescent="0.15">
      <c r="C22" s="193" t="s">
        <v>160</v>
      </c>
      <c r="D22" s="194" t="s">
        <v>117</v>
      </c>
      <c r="N22" s="21"/>
      <c r="O22" s="52" t="s">
        <v>318</v>
      </c>
      <c r="P22" s="188">
        <v>21</v>
      </c>
    </row>
    <row r="23" spans="3:18" ht="29.25" customHeight="1" x14ac:dyDescent="0.15">
      <c r="C23" s="223" t="str">
        <f>N18</f>
        <v>Physically injured</v>
      </c>
      <c r="D23" s="224">
        <f>O18</f>
        <v>21</v>
      </c>
      <c r="N23" s="21"/>
      <c r="O23" s="21"/>
    </row>
    <row r="24" spans="3:18" ht="29.25" customHeight="1" x14ac:dyDescent="0.15">
      <c r="C24" s="225" t="str">
        <f t="shared" ref="C24:C25" si="0">N19</f>
        <v>Sought services or contacted a hotline</v>
      </c>
      <c r="D24" s="226">
        <f t="shared" ref="D24:D25" si="1">O19</f>
        <v>10</v>
      </c>
      <c r="N24" s="21"/>
      <c r="O24" s="42"/>
    </row>
    <row r="25" spans="3:18" ht="29.25" customHeight="1" x14ac:dyDescent="0.15">
      <c r="C25" s="222" t="str">
        <f t="shared" si="0"/>
        <v>Sought medical attention*</v>
      </c>
      <c r="D25" s="426">
        <f t="shared" si="1"/>
        <v>4</v>
      </c>
      <c r="N25" s="21"/>
      <c r="O25" s="42"/>
    </row>
    <row r="26" spans="3:18" x14ac:dyDescent="0.15">
      <c r="C26" s="48" t="s">
        <v>121</v>
      </c>
      <c r="D26" s="114">
        <f>P21</f>
        <v>73</v>
      </c>
      <c r="N26" s="21"/>
      <c r="O26" s="42"/>
    </row>
    <row r="27" spans="3:18" x14ac:dyDescent="0.15">
      <c r="C27" s="48" t="s">
        <v>318</v>
      </c>
      <c r="D27" s="47">
        <f>P22</f>
        <v>21</v>
      </c>
      <c r="N27" s="21"/>
      <c r="O27" s="42"/>
    </row>
    <row r="28" spans="3:18" x14ac:dyDescent="0.15">
      <c r="N28" s="21"/>
      <c r="O28" s="42"/>
    </row>
    <row r="29" spans="3:18" ht="24" customHeight="1" x14ac:dyDescent="0.15"/>
    <row r="30" spans="3:18" ht="24" customHeight="1" x14ac:dyDescent="0.15"/>
    <row r="31" spans="3:18" ht="24" customHeight="1" x14ac:dyDescent="0.15"/>
    <row r="32" spans="3:18" ht="24" customHeight="1" x14ac:dyDescent="0.15">
      <c r="F32" s="46"/>
      <c r="G32" s="47"/>
      <c r="O32" s="16"/>
    </row>
    <row r="33" spans="4:15" ht="24" customHeight="1" x14ac:dyDescent="0.15">
      <c r="D33" s="107"/>
      <c r="O33" s="16"/>
    </row>
    <row r="34" spans="4:15" x14ac:dyDescent="0.15">
      <c r="O34" s="16"/>
    </row>
    <row r="35" spans="4:15" x14ac:dyDescent="0.15">
      <c r="O35" s="16"/>
    </row>
    <row r="54" spans="3:4" x14ac:dyDescent="0.15">
      <c r="C54" s="4"/>
      <c r="D54" s="1"/>
    </row>
    <row r="55" spans="3:4" x14ac:dyDescent="0.15">
      <c r="C55" s="1"/>
      <c r="D55" s="1"/>
    </row>
    <row r="56" spans="3:4" x14ac:dyDescent="0.15">
      <c r="C56" s="1"/>
      <c r="D56" s="1"/>
    </row>
    <row r="57" spans="3:4" x14ac:dyDescent="0.15">
      <c r="C57" s="4"/>
      <c r="D57" s="4"/>
    </row>
    <row r="58" spans="3:4" x14ac:dyDescent="0.15">
      <c r="C58" s="4"/>
      <c r="D58" s="4"/>
    </row>
  </sheetData>
  <sheetProtection password="8E6E" sheet="1" objects="1" scenarios="1" selectLockedCells="1" selectUnlockedCells="1"/>
  <sortState ref="N11:P14">
    <sortCondition ref="O11:O14"/>
  </sortState>
  <mergeCells count="1">
    <mergeCell ref="A2:K2"/>
  </mergeCells>
  <pageMargins left="0.5" right="0.5" top="0.5" bottom="0.5" header="0.1" footer="0.1"/>
  <pageSetup scale="67"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G43"/>
  <sheetViews>
    <sheetView showGridLines="0" showRowColHeaders="0" zoomScale="90" zoomScaleNormal="90" workbookViewId="0">
      <selection activeCell="A35" sqref="A35"/>
    </sheetView>
  </sheetViews>
  <sheetFormatPr defaultColWidth="9.875" defaultRowHeight="11.25" x14ac:dyDescent="0.15"/>
  <cols>
    <col min="1" max="1" width="23" style="19" customWidth="1"/>
    <col min="2" max="2" width="3.625" style="4" customWidth="1"/>
    <col min="3" max="3" width="15" style="2" customWidth="1"/>
    <col min="4" max="4" width="27.25" style="2" customWidth="1"/>
    <col min="5" max="6" width="8.625" style="2" customWidth="1"/>
    <col min="7" max="7" width="28.125" style="2" customWidth="1"/>
    <col min="8" max="9" width="8.625" style="2" customWidth="1"/>
    <col min="10" max="10" width="7.375" style="2" customWidth="1"/>
    <col min="11" max="11" width="9.875" style="2" customWidth="1"/>
    <col min="12" max="12" width="33.75" style="2" customWidth="1"/>
    <col min="13" max="13" width="9.875" style="2" customWidth="1"/>
    <col min="14" max="14" width="80.375" style="2" hidden="1" customWidth="1"/>
    <col min="15" max="15" width="18.5" style="2" hidden="1" customWidth="1"/>
    <col min="16" max="16" width="12.375" style="2" hidden="1" customWidth="1"/>
    <col min="17" max="22" width="9.875" style="2" hidden="1" customWidth="1"/>
    <col min="23" max="32" width="0" style="2" hidden="1" customWidth="1"/>
    <col min="33" max="16384" width="9.875" style="2"/>
  </cols>
  <sheetData>
    <row r="1" spans="1:33" ht="64.5" customHeight="1" thickBot="1" x14ac:dyDescent="0.2">
      <c r="A1" s="5"/>
      <c r="B1" s="5"/>
      <c r="C1" s="5"/>
      <c r="D1" s="5"/>
      <c r="E1" s="5"/>
      <c r="F1" s="5"/>
      <c r="G1" s="5"/>
      <c r="H1" s="5"/>
      <c r="I1" s="5"/>
      <c r="J1" s="5"/>
      <c r="K1" s="8"/>
      <c r="L1" s="109" t="s">
        <v>1</v>
      </c>
      <c r="N1"/>
      <c r="O1"/>
      <c r="P1"/>
      <c r="Q1"/>
      <c r="R1"/>
      <c r="S1"/>
      <c r="T1"/>
      <c r="U1"/>
      <c r="V1"/>
      <c r="W1"/>
      <c r="X1"/>
      <c r="Y1"/>
      <c r="Z1"/>
      <c r="AA1"/>
      <c r="AB1"/>
      <c r="AC1"/>
      <c r="AD1"/>
      <c r="AE1"/>
      <c r="AF1"/>
      <c r="AG1"/>
    </row>
    <row r="2" spans="1:33" ht="18" customHeight="1" x14ac:dyDescent="0.15">
      <c r="A2" s="428" t="s">
        <v>147</v>
      </c>
      <c r="B2" s="428"/>
      <c r="C2" s="428"/>
      <c r="D2" s="428"/>
      <c r="E2" s="428"/>
      <c r="F2" s="428"/>
      <c r="G2" s="428"/>
      <c r="H2" s="428"/>
      <c r="I2" s="428"/>
      <c r="J2" s="428"/>
      <c r="K2" s="428"/>
      <c r="L2" s="428"/>
      <c r="M2" s="110"/>
      <c r="N2"/>
      <c r="O2"/>
      <c r="P2"/>
      <c r="Q2"/>
      <c r="R2"/>
      <c r="S2"/>
      <c r="T2"/>
      <c r="U2"/>
      <c r="V2"/>
      <c r="W2"/>
      <c r="X2"/>
      <c r="Y2"/>
      <c r="Z2"/>
      <c r="AA2"/>
      <c r="AB2"/>
      <c r="AC2"/>
      <c r="AD2"/>
      <c r="AE2"/>
      <c r="AF2"/>
      <c r="AG2"/>
    </row>
    <row r="3" spans="1:33" ht="15" customHeight="1" x14ac:dyDescent="0.15">
      <c r="M3" s="4"/>
      <c r="N3"/>
      <c r="O3"/>
      <c r="P3"/>
      <c r="Q3"/>
      <c r="R3"/>
      <c r="S3"/>
      <c r="T3"/>
      <c r="U3"/>
      <c r="V3"/>
      <c r="W3"/>
      <c r="X3"/>
      <c r="Y3"/>
      <c r="Z3"/>
      <c r="AA3"/>
      <c r="AB3"/>
      <c r="AC3"/>
      <c r="AD3"/>
      <c r="AE3"/>
      <c r="AF3"/>
      <c r="AG3"/>
    </row>
    <row r="4" spans="1:33" ht="15.75" customHeight="1" x14ac:dyDescent="0.15">
      <c r="A4" s="25"/>
      <c r="M4" s="4"/>
      <c r="N4"/>
      <c r="O4"/>
      <c r="P4"/>
      <c r="Q4"/>
      <c r="R4"/>
      <c r="S4"/>
      <c r="T4"/>
      <c r="U4"/>
      <c r="V4"/>
      <c r="W4"/>
      <c r="X4"/>
      <c r="Y4"/>
      <c r="Z4"/>
      <c r="AA4"/>
      <c r="AB4"/>
      <c r="AC4"/>
      <c r="AD4"/>
      <c r="AE4"/>
      <c r="AF4"/>
      <c r="AG4"/>
    </row>
    <row r="5" spans="1:33" ht="15.75" customHeight="1" x14ac:dyDescent="0.15">
      <c r="D5" s="6"/>
      <c r="E5" s="6"/>
      <c r="F5" s="6"/>
      <c r="I5" s="6"/>
      <c r="J5" s="6"/>
      <c r="K5" s="6"/>
      <c r="L5" s="6"/>
      <c r="M5" s="4"/>
      <c r="N5"/>
      <c r="O5"/>
      <c r="P5"/>
      <c r="Q5"/>
      <c r="R5"/>
      <c r="S5"/>
      <c r="T5"/>
      <c r="U5"/>
      <c r="V5"/>
      <c r="W5"/>
      <c r="X5"/>
      <c r="Y5"/>
      <c r="Z5"/>
      <c r="AA5"/>
      <c r="AB5"/>
      <c r="AC5"/>
      <c r="AD5"/>
      <c r="AE5"/>
      <c r="AF5"/>
      <c r="AG5"/>
    </row>
    <row r="6" spans="1:33" ht="15.75" customHeight="1" x14ac:dyDescent="0.15">
      <c r="A6" s="24"/>
      <c r="B6" s="18"/>
      <c r="D6" s="6"/>
      <c r="E6" s="6"/>
      <c r="F6" s="6"/>
      <c r="G6" s="6"/>
      <c r="H6" s="6"/>
      <c r="I6" s="6"/>
      <c r="J6" s="6"/>
      <c r="K6" s="6"/>
      <c r="L6" s="6"/>
      <c r="M6" s="4"/>
      <c r="N6"/>
      <c r="O6"/>
      <c r="P6"/>
      <c r="Q6"/>
      <c r="R6"/>
      <c r="S6"/>
      <c r="T6"/>
      <c r="U6"/>
      <c r="V6"/>
      <c r="W6"/>
      <c r="X6"/>
      <c r="Y6"/>
      <c r="Z6"/>
      <c r="AA6"/>
      <c r="AB6"/>
      <c r="AC6"/>
      <c r="AD6"/>
      <c r="AE6"/>
      <c r="AF6"/>
      <c r="AG6"/>
    </row>
    <row r="7" spans="1:33" ht="15.75" customHeight="1" x14ac:dyDescent="0.15">
      <c r="A7" s="25"/>
      <c r="D7" s="17"/>
      <c r="E7" s="7"/>
      <c r="F7" s="7"/>
      <c r="G7" s="7"/>
      <c r="H7" s="7"/>
      <c r="I7" s="7"/>
      <c r="J7" s="7"/>
      <c r="K7" s="7"/>
      <c r="L7" s="7"/>
      <c r="M7" s="4"/>
      <c r="N7"/>
      <c r="O7"/>
      <c r="P7"/>
      <c r="Q7"/>
      <c r="R7"/>
      <c r="S7"/>
      <c r="T7"/>
      <c r="U7"/>
      <c r="V7"/>
      <c r="W7"/>
      <c r="X7"/>
      <c r="Y7"/>
      <c r="Z7"/>
      <c r="AA7"/>
      <c r="AB7"/>
      <c r="AC7"/>
      <c r="AD7"/>
      <c r="AE7"/>
      <c r="AF7"/>
      <c r="AG7"/>
    </row>
    <row r="8" spans="1:33" ht="15.75" customHeight="1" x14ac:dyDescent="0.15">
      <c r="A8" s="29"/>
      <c r="D8" s="16"/>
      <c r="M8" s="4"/>
      <c r="N8"/>
      <c r="O8"/>
      <c r="P8"/>
      <c r="Q8"/>
      <c r="R8"/>
      <c r="S8"/>
      <c r="T8"/>
      <c r="U8"/>
      <c r="V8"/>
      <c r="W8"/>
      <c r="X8"/>
      <c r="Y8"/>
      <c r="Z8"/>
      <c r="AA8"/>
      <c r="AB8"/>
      <c r="AC8"/>
      <c r="AD8"/>
      <c r="AE8"/>
      <c r="AF8"/>
      <c r="AG8"/>
    </row>
    <row r="9" spans="1:33" s="3" customFormat="1" ht="15.75" customHeight="1" x14ac:dyDescent="0.15">
      <c r="A9" s="27"/>
      <c r="B9" s="1"/>
      <c r="D9" s="11"/>
      <c r="M9" s="4"/>
      <c r="N9"/>
      <c r="O9"/>
      <c r="P9"/>
      <c r="Q9"/>
      <c r="R9"/>
      <c r="S9"/>
      <c r="T9"/>
      <c r="U9"/>
      <c r="V9"/>
      <c r="W9"/>
      <c r="X9"/>
      <c r="Y9"/>
      <c r="Z9"/>
      <c r="AA9"/>
      <c r="AB9"/>
      <c r="AC9"/>
      <c r="AD9"/>
      <c r="AE9"/>
      <c r="AF9"/>
      <c r="AG9"/>
    </row>
    <row r="10" spans="1:33" s="3" customFormat="1" ht="15.75" customHeight="1" x14ac:dyDescent="0.2">
      <c r="A10" s="40"/>
      <c r="B10" s="1"/>
      <c r="D10" s="11"/>
      <c r="M10" s="4"/>
      <c r="N10"/>
      <c r="O10"/>
      <c r="P10"/>
      <c r="Q10"/>
      <c r="R10"/>
      <c r="S10"/>
      <c r="T10"/>
      <c r="U10"/>
      <c r="V10"/>
      <c r="W10"/>
      <c r="X10"/>
      <c r="Y10"/>
      <c r="Z10"/>
      <c r="AA10"/>
      <c r="AB10"/>
      <c r="AC10"/>
      <c r="AD10"/>
      <c r="AE10"/>
      <c r="AF10"/>
      <c r="AG10"/>
    </row>
    <row r="11" spans="1:33" s="3" customFormat="1" ht="15.75" customHeight="1" x14ac:dyDescent="0.2">
      <c r="A11" s="40"/>
      <c r="B11" s="1"/>
      <c r="M11" s="4"/>
      <c r="N11"/>
      <c r="O11"/>
      <c r="P11"/>
      <c r="Q11"/>
      <c r="R11"/>
      <c r="S11"/>
      <c r="T11"/>
      <c r="U11"/>
      <c r="V11"/>
      <c r="W11"/>
      <c r="X11"/>
      <c r="Y11"/>
      <c r="Z11"/>
      <c r="AA11"/>
      <c r="AB11"/>
      <c r="AC11"/>
      <c r="AD11"/>
      <c r="AE11"/>
      <c r="AF11"/>
      <c r="AG11"/>
    </row>
    <row r="12" spans="1:33" s="3" customFormat="1" ht="15.75" customHeight="1" x14ac:dyDescent="0.2">
      <c r="A12" s="40"/>
      <c r="B12" s="1"/>
      <c r="M12" s="4"/>
      <c r="N12" s="273" t="s">
        <v>152</v>
      </c>
      <c r="O12" s="274" t="s">
        <v>313</v>
      </c>
      <c r="P12" s="274" t="s">
        <v>314</v>
      </c>
      <c r="Q12" s="274" t="s">
        <v>153</v>
      </c>
      <c r="R12" s="274" t="s">
        <v>154</v>
      </c>
      <c r="S12" s="274" t="s">
        <v>192</v>
      </c>
      <c r="T12" s="274" t="s">
        <v>193</v>
      </c>
      <c r="U12" s="275" t="s">
        <v>157</v>
      </c>
    </row>
    <row r="13" spans="1:33" s="3" customFormat="1" ht="20.25" customHeight="1" x14ac:dyDescent="0.15">
      <c r="A13" s="20"/>
      <c r="B13" s="1"/>
      <c r="M13" s="4"/>
      <c r="N13" s="352" t="s">
        <v>250</v>
      </c>
      <c r="O13" s="140" t="e">
        <f>COUNTIF(peers_blame,1)+COUNTIF(peers_blame,2)</f>
        <v>#REF!</v>
      </c>
      <c r="P13" s="140" t="e">
        <f>COUNTIF(respondent_blame,1)+COUNTIF(respondent_blame,2)</f>
        <v>#REF!</v>
      </c>
      <c r="Q13" s="144" t="e">
        <f>O13/T13</f>
        <v>#REF!</v>
      </c>
      <c r="R13" s="144" t="e">
        <f>P13/S13</f>
        <v>#REF!</v>
      </c>
      <c r="S13" s="239" t="e">
        <f>SUMPRODUCT(([0]!respondent_blame&lt;&gt;"")*1)</f>
        <v>#REF!</v>
      </c>
      <c r="T13" s="126" t="e">
        <f>SUMPRODUCT(([0]!peers_blame&lt;&gt;"")*1)</f>
        <v>#REF!</v>
      </c>
      <c r="U13" s="287"/>
      <c r="W13"/>
    </row>
    <row r="14" spans="1:33" s="3" customFormat="1" ht="18.75" customHeight="1" x14ac:dyDescent="0.15">
      <c r="A14" s="20"/>
      <c r="B14" s="1"/>
      <c r="C14"/>
      <c r="D14"/>
      <c r="E14"/>
      <c r="M14" s="4"/>
      <c r="N14" s="352" t="s">
        <v>251</v>
      </c>
      <c r="O14" s="140" t="e">
        <f>COUNTIF(peers_passed_out,1)+COUNTIF(peers_passed_out,2)</f>
        <v>#REF!</v>
      </c>
      <c r="P14" s="140" t="e">
        <f>COUNTIF(respondent_passed_out,1)+COUNTIF(respondent_passed_out,2)</f>
        <v>#REF!</v>
      </c>
      <c r="Q14" s="144" t="e">
        <f>O14/T14</f>
        <v>#REF!</v>
      </c>
      <c r="R14" s="144" t="e">
        <f>P14/S14</f>
        <v>#REF!</v>
      </c>
      <c r="S14" s="239" t="e">
        <f>SUMPRODUCT(([0]!respondent_passed_out&lt;&gt;"")*1)</f>
        <v>#REF!</v>
      </c>
      <c r="T14" s="126" t="e">
        <f>SUMPRODUCT(([0]!peers_passed_out&lt;&gt;"")*1)</f>
        <v>#REF!</v>
      </c>
      <c r="U14" s="287"/>
    </row>
    <row r="15" spans="1:33" ht="17.25" customHeight="1" x14ac:dyDescent="0.15">
      <c r="C15"/>
      <c r="D15"/>
      <c r="E15"/>
      <c r="N15" s="352" t="s">
        <v>252</v>
      </c>
      <c r="O15" s="140" t="e">
        <f>COUNTIF(peers_upset,1)+COUNTIF(peers_upset,2)</f>
        <v>#REF!</v>
      </c>
      <c r="P15" s="140" t="e">
        <f>COUNTIF(respondent_upset,1)+COUNTIF(respondent_upset,2)</f>
        <v>#REF!</v>
      </c>
      <c r="Q15" s="144" t="e">
        <f>O15/T15</f>
        <v>#REF!</v>
      </c>
      <c r="R15" s="144" t="e">
        <f>P15/S15</f>
        <v>#REF!</v>
      </c>
      <c r="S15" s="239" t="e">
        <f>SUMPRODUCT(([0]!respondent_upset&lt;&gt;"")*1)</f>
        <v>#REF!</v>
      </c>
      <c r="T15" s="126" t="e">
        <f>SUMPRODUCT(([0]!peers_upset&lt;&gt;"")*1)</f>
        <v>#REF!</v>
      </c>
      <c r="U15" s="272"/>
    </row>
    <row r="16" spans="1:33" ht="15" customHeight="1" x14ac:dyDescent="0.15">
      <c r="C16"/>
      <c r="D16"/>
      <c r="E16"/>
      <c r="N16" s="353" t="s">
        <v>253</v>
      </c>
      <c r="O16" s="354" t="e">
        <f>COUNTIF(peers_decide,1)+COUNTIF(peers_decide,2)</f>
        <v>#REF!</v>
      </c>
      <c r="P16" s="354" t="e">
        <f>COUNTIF(respondent_decide,1)+COUNTIF(respondent_decide,2)</f>
        <v>#REF!</v>
      </c>
      <c r="Q16" s="355" t="e">
        <f>O16/T16</f>
        <v>#REF!</v>
      </c>
      <c r="R16" s="355" t="e">
        <f>P16/S16</f>
        <v>#REF!</v>
      </c>
      <c r="S16" s="356" t="e">
        <f>SUMPRODUCT(([0]!respondent_decide&lt;&gt;"")*1)</f>
        <v>#REF!</v>
      </c>
      <c r="T16" s="286" t="e">
        <f>SUMPRODUCT(([0]!peers_decide&lt;&gt;"")*1)</f>
        <v>#REF!</v>
      </c>
      <c r="U16" s="278"/>
    </row>
    <row r="17" spans="3:21" ht="13.5" customHeight="1" x14ac:dyDescent="0.15">
      <c r="C17"/>
      <c r="D17"/>
      <c r="E17"/>
      <c r="N17" s="4"/>
      <c r="O17" s="55"/>
      <c r="P17" s="183"/>
      <c r="Q17" s="4"/>
      <c r="R17" s="184" t="s">
        <v>186</v>
      </c>
      <c r="S17" s="117" t="e">
        <f>AVERAGE(S13:S16)</f>
        <v>#REF!</v>
      </c>
      <c r="T17" s="12" t="e">
        <f>AVERAGE(T13:T16)</f>
        <v>#REF!</v>
      </c>
      <c r="U17" s="117" t="e">
        <f>AVERAGE(S17:T17)</f>
        <v>#REF!</v>
      </c>
    </row>
    <row r="18" spans="3:21" ht="15.75" customHeight="1" x14ac:dyDescent="0.15">
      <c r="P18" s="10"/>
      <c r="Q18" s="12"/>
      <c r="S18" s="4"/>
    </row>
    <row r="19" spans="3:21" ht="43.5" customHeight="1" x14ac:dyDescent="0.15">
      <c r="N19" s="273" t="s">
        <v>158</v>
      </c>
      <c r="O19" s="274" t="s">
        <v>6</v>
      </c>
      <c r="P19" s="275" t="s">
        <v>117</v>
      </c>
      <c r="Q19" s="12"/>
      <c r="S19" s="4"/>
    </row>
    <row r="20" spans="3:21" x14ac:dyDescent="0.15">
      <c r="N20" s="357" t="s">
        <v>289</v>
      </c>
      <c r="O20" s="129" t="e">
        <f>P20/$P$29</f>
        <v>#REF!</v>
      </c>
      <c r="P20" s="272" t="e">
        <f>COUNTIF(action_no_action,1)</f>
        <v>#REF!</v>
      </c>
      <c r="Q20" s="10"/>
      <c r="S20" s="4"/>
    </row>
    <row r="21" spans="3:21" ht="18.75" customHeight="1" x14ac:dyDescent="0.15">
      <c r="N21" s="357" t="s">
        <v>290</v>
      </c>
      <c r="O21" s="129" t="e">
        <f t="shared" ref="O21:O27" si="0">P21/$P$29</f>
        <v>#REF!</v>
      </c>
      <c r="P21" s="272" t="e">
        <f>COUNTIF(action_told,1)</f>
        <v>#REF!</v>
      </c>
      <c r="Q21" s="10"/>
      <c r="R21" s="10"/>
      <c r="S21" s="4"/>
    </row>
    <row r="22" spans="3:21" x14ac:dyDescent="0.15">
      <c r="N22" s="357" t="s">
        <v>291</v>
      </c>
      <c r="O22" s="129" t="e">
        <f t="shared" si="0"/>
        <v>#REF!</v>
      </c>
      <c r="P22" s="272" t="e">
        <f>COUNTIF(action_risky,1)</f>
        <v>#REF!</v>
      </c>
      <c r="Q22" s="10"/>
    </row>
    <row r="23" spans="3:21" x14ac:dyDescent="0.15">
      <c r="N23" s="357" t="s">
        <v>292</v>
      </c>
      <c r="O23" s="129" t="e">
        <f t="shared" si="0"/>
        <v>#REF!</v>
      </c>
      <c r="P23" s="272" t="e">
        <f>COUNTIF(action_distraction,1)</f>
        <v>#REF!</v>
      </c>
      <c r="Q23" s="10"/>
      <c r="R23" s="10"/>
      <c r="S23" s="4"/>
    </row>
    <row r="24" spans="3:21" x14ac:dyDescent="0.15">
      <c r="M24" s="10"/>
      <c r="N24" s="357" t="s">
        <v>293</v>
      </c>
      <c r="O24" s="129" t="e">
        <f t="shared" si="0"/>
        <v>#REF!</v>
      </c>
      <c r="P24" s="272" t="e">
        <f>COUNTIF(action_confronted,1)</f>
        <v>#REF!</v>
      </c>
      <c r="Q24" s="10"/>
      <c r="R24" s="10"/>
      <c r="S24" s="4"/>
    </row>
    <row r="25" spans="3:21" ht="31.5" customHeight="1" x14ac:dyDescent="0.15">
      <c r="C25" s="435" t="s">
        <v>156</v>
      </c>
      <c r="D25" s="436"/>
      <c r="E25" s="196" t="s">
        <v>127</v>
      </c>
      <c r="F25" s="194" t="s">
        <v>117</v>
      </c>
      <c r="G25" s="51" t="s">
        <v>122</v>
      </c>
      <c r="H25" s="49" t="e">
        <f>U17</f>
        <v>#REF!</v>
      </c>
      <c r="I25" s="148"/>
      <c r="M25" s="10"/>
      <c r="N25" s="357" t="s">
        <v>294</v>
      </c>
      <c r="O25" s="129" t="e">
        <f t="shared" si="0"/>
        <v>#REF!</v>
      </c>
      <c r="P25" s="272" t="e">
        <f>COUNTIF(action_others,1)</f>
        <v>#REF!</v>
      </c>
      <c r="Q25" s="10"/>
    </row>
    <row r="26" spans="3:21" ht="37.5" customHeight="1" x14ac:dyDescent="0.15">
      <c r="C26" s="227" t="s">
        <v>62</v>
      </c>
      <c r="D26" s="222" t="str">
        <f>N20</f>
        <v>I decided not to take action.</v>
      </c>
      <c r="E26" s="269" t="e">
        <f t="shared" ref="E26:F26" si="1">O20</f>
        <v>#REF!</v>
      </c>
      <c r="F26" s="222" t="e">
        <f t="shared" si="1"/>
        <v>#REF!</v>
      </c>
      <c r="M26" s="10"/>
      <c r="N26" s="357" t="s">
        <v>295</v>
      </c>
      <c r="O26" s="129" t="e">
        <f t="shared" si="0"/>
        <v>#REF!</v>
      </c>
      <c r="P26" s="272" t="e">
        <f>COUNTIF(action_stepped_in,1)</f>
        <v>#REF!</v>
      </c>
      <c r="Q26" s="10"/>
    </row>
    <row r="27" spans="3:21" ht="37.5" customHeight="1" x14ac:dyDescent="0.15">
      <c r="C27" s="267" t="s">
        <v>63</v>
      </c>
      <c r="D27" s="268" t="str">
        <f t="shared" ref="D27:D28" si="2">N21</f>
        <v>I told someone in a position of authority about the situation.</v>
      </c>
      <c r="E27" s="270" t="e">
        <f t="shared" ref="E27:E28" si="3">O21</f>
        <v>#REF!</v>
      </c>
      <c r="F27" s="268" t="e">
        <f t="shared" ref="F27:F28" si="4">P21</f>
        <v>#REF!</v>
      </c>
      <c r="N27" s="358" t="s">
        <v>296</v>
      </c>
      <c r="O27" s="277" t="e">
        <f t="shared" si="0"/>
        <v>#REF!</v>
      </c>
      <c r="P27" s="278" t="e">
        <f>COUNTIF(action_asked,1)</f>
        <v>#REF!</v>
      </c>
      <c r="Q27" s="10"/>
    </row>
    <row r="28" spans="3:21" ht="37.5" customHeight="1" x14ac:dyDescent="0.15">
      <c r="C28" s="227" t="s">
        <v>64</v>
      </c>
      <c r="D28" s="222" t="str">
        <f t="shared" si="2"/>
        <v>I considered intervening in the situation, but I could not safely take any action.</v>
      </c>
      <c r="E28" s="269" t="e">
        <f t="shared" si="3"/>
        <v>#REF!</v>
      </c>
      <c r="F28" s="222" t="e">
        <f t="shared" si="4"/>
        <v>#REF!</v>
      </c>
    </row>
    <row r="29" spans="3:21" x14ac:dyDescent="0.15">
      <c r="C29" s="111" t="s">
        <v>122</v>
      </c>
      <c r="D29" s="47" t="str">
        <f>P29</f>
        <v>*=COUNTIF(action_group_var_sum,"&gt;0")</v>
      </c>
      <c r="E29" s="47"/>
      <c r="O29" s="158" t="s">
        <v>122</v>
      </c>
      <c r="P29" s="118" t="s">
        <v>194</v>
      </c>
    </row>
    <row r="30" spans="3:21" ht="22.5" customHeight="1" x14ac:dyDescent="0.15"/>
    <row r="31" spans="3:21" ht="30" customHeight="1" x14ac:dyDescent="0.15"/>
    <row r="32" spans="3:21" ht="30" customHeight="1" x14ac:dyDescent="0.15">
      <c r="N32" s="125" t="s">
        <v>201</v>
      </c>
      <c r="O32" s="125" t="s">
        <v>6</v>
      </c>
      <c r="P32" s="125" t="s">
        <v>117</v>
      </c>
      <c r="Q32" s="125" t="s">
        <v>123</v>
      </c>
    </row>
    <row r="33" spans="3:17" ht="30" customHeight="1" x14ac:dyDescent="0.15">
      <c r="N33" s="170" t="s">
        <v>17</v>
      </c>
      <c r="O33" s="129" t="e">
        <f>P33/Q33</f>
        <v>#REF!</v>
      </c>
      <c r="P33" s="126" t="e">
        <f>COUNTIF(observed_sv,1)</f>
        <v>#REF!</v>
      </c>
      <c r="Q33" s="126" t="e">
        <f>SUMPRODUCT(([0]!observed_sv&lt;&gt;"")*1)</f>
        <v>#REF!</v>
      </c>
    </row>
    <row r="34" spans="3:17" x14ac:dyDescent="0.15">
      <c r="C34" s="46"/>
      <c r="D34" s="47"/>
    </row>
    <row r="36" spans="3:17" x14ac:dyDescent="0.15">
      <c r="P36" s="262" t="s">
        <v>122</v>
      </c>
      <c r="Q36" s="262" t="e">
        <f>Q33</f>
        <v>#REF!</v>
      </c>
    </row>
    <row r="38" spans="3:17" ht="14.25" x14ac:dyDescent="0.2">
      <c r="P38" s="359" t="e">
        <f>CONCATENATE(P36,Q36)</f>
        <v>#REF!</v>
      </c>
    </row>
    <row r="43" spans="3:17" x14ac:dyDescent="0.15">
      <c r="O43" s="55"/>
    </row>
  </sheetData>
  <sheetProtection password="8E6E" sheet="1" objects="1" scenarios="1" selectLockedCells="1" selectUnlockedCells="1"/>
  <sortState ref="N20:Q27">
    <sortCondition ref="P20:P27"/>
  </sortState>
  <mergeCells count="2">
    <mergeCell ref="A2:L2"/>
    <mergeCell ref="C25:D25"/>
  </mergeCells>
  <pageMargins left="0.5" right="0.5" top="0.5" bottom="0.5" header="0.1" footer="0.1"/>
  <pageSetup scale="40" orientation="landscape" r:id="rId1"/>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9"/>
  <sheetViews>
    <sheetView showGridLines="0" showRowColHeaders="0" zoomScale="90" zoomScaleNormal="90" workbookViewId="0">
      <selection activeCell="A35" sqref="A35"/>
    </sheetView>
  </sheetViews>
  <sheetFormatPr defaultColWidth="9.875" defaultRowHeight="11.25" x14ac:dyDescent="0.15"/>
  <cols>
    <col min="1" max="1" width="23" style="62" customWidth="1"/>
    <col min="2" max="2" width="3.625" style="63" customWidth="1"/>
    <col min="3" max="3" width="40.375" style="64" customWidth="1"/>
    <col min="4" max="4" width="20" style="64" customWidth="1"/>
    <col min="5" max="5" width="12.5" style="64" customWidth="1"/>
    <col min="6" max="10" width="9.875" style="64" customWidth="1"/>
    <col min="11" max="11" width="10.75" style="64" customWidth="1"/>
    <col min="12" max="12" width="30.25" style="64" customWidth="1"/>
    <col min="13" max="13" width="9.875" style="64" customWidth="1"/>
    <col min="14" max="14" width="75.75" style="64" hidden="1" customWidth="1"/>
    <col min="15" max="17" width="17.125" style="64" hidden="1" customWidth="1"/>
    <col min="18" max="18" width="22" style="64" hidden="1" customWidth="1"/>
    <col min="19" max="19" width="30.25" style="64" hidden="1" customWidth="1"/>
    <col min="20" max="20" width="16.75" style="64" hidden="1" customWidth="1"/>
    <col min="21" max="21" width="24.75" style="64" hidden="1" customWidth="1"/>
    <col min="22" max="22" width="33.75" style="64" hidden="1" customWidth="1"/>
    <col min="23" max="23" width="15" style="64" hidden="1" customWidth="1"/>
    <col min="24" max="30" width="9.875" style="64" hidden="1" customWidth="1"/>
    <col min="31" max="31" width="0" style="64" hidden="1" customWidth="1"/>
    <col min="32" max="16384" width="9.875" style="64"/>
  </cols>
  <sheetData>
    <row r="1" spans="1:26" ht="64.5" customHeight="1" thickBot="1" x14ac:dyDescent="0.2">
      <c r="A1" s="91"/>
      <c r="B1" s="91"/>
      <c r="C1" s="91"/>
      <c r="D1" s="91"/>
      <c r="E1" s="91"/>
      <c r="F1" s="91"/>
      <c r="G1" s="91"/>
      <c r="H1" s="91"/>
      <c r="I1" s="91"/>
      <c r="J1" s="91"/>
      <c r="K1" s="92"/>
      <c r="L1" s="93" t="s">
        <v>1</v>
      </c>
    </row>
    <row r="2" spans="1:26" ht="18" customHeight="1" x14ac:dyDescent="0.15">
      <c r="A2" s="429" t="s">
        <v>96</v>
      </c>
      <c r="B2" s="429"/>
      <c r="C2" s="429"/>
      <c r="D2" s="429"/>
      <c r="E2" s="429"/>
      <c r="F2" s="429"/>
      <c r="G2" s="429"/>
      <c r="H2" s="429"/>
      <c r="I2" s="429"/>
      <c r="J2" s="429"/>
      <c r="K2" s="429"/>
      <c r="L2" s="429"/>
    </row>
    <row r="3" spans="1:26" ht="15" customHeight="1" x14ac:dyDescent="0.15"/>
    <row r="4" spans="1:26" ht="18.75" customHeight="1" x14ac:dyDescent="0.15">
      <c r="A4" s="25"/>
      <c r="D4" s="367" t="s">
        <v>134</v>
      </c>
      <c r="F4" s="96" t="s">
        <v>121</v>
      </c>
      <c r="G4" s="100" t="e">
        <f>$T$17</f>
        <v>#REF!</v>
      </c>
      <c r="N4" s="185" t="s">
        <v>191</v>
      </c>
      <c r="O4" s="101" t="str">
        <f>D4</f>
        <v xml:space="preserve">All Students </v>
      </c>
      <c r="P4" s="71">
        <f>VLOOKUP(O4,N18:O20,2,0)</f>
        <v>3</v>
      </c>
      <c r="S4" s="102"/>
    </row>
    <row r="5" spans="1:26" ht="15.75" customHeight="1" x14ac:dyDescent="0.15">
      <c r="F5" s="439"/>
      <c r="G5" s="439"/>
      <c r="H5" s="439"/>
      <c r="I5" s="439"/>
      <c r="J5" s="439"/>
      <c r="K5" s="439"/>
      <c r="L5" s="72"/>
      <c r="N5" s="384" t="s">
        <v>135</v>
      </c>
      <c r="O5" s="385" t="s">
        <v>281</v>
      </c>
      <c r="P5" s="386" t="s">
        <v>280</v>
      </c>
      <c r="Q5" s="387" t="s">
        <v>255</v>
      </c>
      <c r="R5" s="387" t="s">
        <v>256</v>
      </c>
      <c r="S5" s="385" t="s">
        <v>136</v>
      </c>
      <c r="T5" s="388" t="s">
        <v>257</v>
      </c>
      <c r="U5" s="388" t="s">
        <v>258</v>
      </c>
      <c r="V5" s="385" t="s">
        <v>143</v>
      </c>
      <c r="W5" s="386" t="s">
        <v>132</v>
      </c>
      <c r="X5" s="389" t="s">
        <v>116</v>
      </c>
    </row>
    <row r="6" spans="1:26" ht="15.75" customHeight="1" x14ac:dyDescent="0.15">
      <c r="A6" s="24"/>
      <c r="B6" s="74"/>
      <c r="F6" s="72"/>
      <c r="G6" s="72"/>
      <c r="H6" s="72"/>
      <c r="I6" s="72"/>
      <c r="J6" s="72"/>
      <c r="K6" s="72"/>
      <c r="L6" s="72"/>
      <c r="N6" s="380" t="s">
        <v>99</v>
      </c>
      <c r="O6" s="369" t="e">
        <f>S6/X6</f>
        <v>#REF!</v>
      </c>
      <c r="P6" s="379" t="e">
        <f>W6/X6</f>
        <v>#REF!</v>
      </c>
      <c r="Q6" s="368"/>
      <c r="R6" s="368"/>
      <c r="S6" s="370" t="e">
        <f>IF($P$4=1,$S$46,IF($P$4=2,$S$31,IF($P$4=3,S$60,"")))</f>
        <v>#REF!</v>
      </c>
      <c r="T6" s="368"/>
      <c r="U6" s="368"/>
      <c r="V6" s="370" t="e">
        <f>IF($P$4=1,$V$46,IF($P$4=2,$V$31,IF($P$4=3,$V$60,"")))</f>
        <v>#REF!</v>
      </c>
      <c r="W6" s="370" t="e">
        <f>IF($P$4=1,$W$46,IF($P$4=2,$W$31,IF($P$4=3,$W$60,"")))</f>
        <v>#REF!</v>
      </c>
      <c r="X6" s="383" t="e">
        <f>S6+V6+W6</f>
        <v>#REF!</v>
      </c>
    </row>
    <row r="7" spans="1:26" ht="15.75" customHeight="1" x14ac:dyDescent="0.15">
      <c r="A7" s="25"/>
      <c r="F7" s="77"/>
      <c r="G7" s="77"/>
      <c r="H7" s="77"/>
      <c r="I7" s="77"/>
      <c r="J7" s="77"/>
      <c r="K7" s="77"/>
      <c r="L7" s="77"/>
      <c r="N7" s="381" t="s">
        <v>100</v>
      </c>
      <c r="O7" s="369" t="e">
        <f t="shared" ref="O7:O15" si="0">S7/X7</f>
        <v>#REF!</v>
      </c>
      <c r="P7" s="379" t="e">
        <f t="shared" ref="P7:P15" si="1">W7/X7</f>
        <v>#REF!</v>
      </c>
      <c r="Q7" s="368"/>
      <c r="R7" s="368"/>
      <c r="S7" s="370" t="e">
        <f>IF($P$4=1,$S$45,IF($P$4=2,$S$30,IF($P$4=3,S$59,"")))</f>
        <v>#REF!</v>
      </c>
      <c r="T7" s="368"/>
      <c r="U7" s="368"/>
      <c r="V7" s="370" t="e">
        <f>IF($P$4=1,$V$45,IF($P$4=2,$V$30,IF($P$4=3,$V$59,"")))</f>
        <v>#REF!</v>
      </c>
      <c r="W7" s="370" t="e">
        <f>IF($P$4=1,$W$45,IF($P$4=2,$W$30,IF($P$4=3,$W$59,"")))</f>
        <v>#REF!</v>
      </c>
      <c r="X7" s="383" t="e">
        <f t="shared" ref="X7:X15" si="2">S7+V7+W7</f>
        <v>#REF!</v>
      </c>
    </row>
    <row r="8" spans="1:26" ht="15.75" customHeight="1" x14ac:dyDescent="0.15">
      <c r="A8" s="29"/>
      <c r="N8" s="381" t="s">
        <v>138</v>
      </c>
      <c r="O8" s="369" t="e">
        <f t="shared" si="0"/>
        <v>#REF!</v>
      </c>
      <c r="P8" s="379" t="e">
        <f t="shared" si="1"/>
        <v>#REF!</v>
      </c>
      <c r="Q8" s="368"/>
      <c r="R8" s="368"/>
      <c r="S8" s="370" t="e">
        <f>IF($P$4=1,$S$42,IF($P$4=2,$S$27,IF($P$4=3,S$56,"")))</f>
        <v>#REF!</v>
      </c>
      <c r="T8" s="368"/>
      <c r="U8" s="368"/>
      <c r="V8" s="370" t="e">
        <f>IF($P$4=1,$V$42,IF($P$4=2,$V$27,IF($P$4=3,$V$56,"")))</f>
        <v>#REF!</v>
      </c>
      <c r="W8" s="370" t="e">
        <f>IF($P$4=1,$W$42,IF($P$4=2,$W$27,IF($P$4=3,$W$56,"")))</f>
        <v>#REF!</v>
      </c>
      <c r="X8" s="383" t="e">
        <f t="shared" si="2"/>
        <v>#REF!</v>
      </c>
    </row>
    <row r="9" spans="1:26" s="75" customFormat="1" ht="15.75" customHeight="1" x14ac:dyDescent="0.15">
      <c r="A9" s="27"/>
      <c r="B9" s="80"/>
      <c r="M9" s="64"/>
      <c r="N9" s="380" t="s">
        <v>102</v>
      </c>
      <c r="O9" s="369" t="e">
        <f t="shared" si="0"/>
        <v>#REF!</v>
      </c>
      <c r="P9" s="379" t="e">
        <f t="shared" si="1"/>
        <v>#REF!</v>
      </c>
      <c r="Q9" s="368"/>
      <c r="R9" s="368"/>
      <c r="S9" s="370" t="e">
        <f>IF($P$4=1,$S$47,IF($P$4=2,$S$32,IF($P$4=3,S$61,"")))</f>
        <v>#REF!</v>
      </c>
      <c r="T9" s="368"/>
      <c r="U9" s="368"/>
      <c r="V9" s="370" t="e">
        <f>IF($P$4=1,$V$47,IF($P$4=2,$V$32,IF($P$4=3,$V$61,"")))</f>
        <v>#REF!</v>
      </c>
      <c r="W9" s="370" t="e">
        <f>IF($P$4=1,$W$47,IF($P$4=2,$W$32,IF($P$4=3,$W$61,"")))</f>
        <v>#REF!</v>
      </c>
      <c r="X9" s="383" t="e">
        <f t="shared" si="2"/>
        <v>#REF!</v>
      </c>
      <c r="Z9" s="64"/>
    </row>
    <row r="10" spans="1:26" s="75" customFormat="1" ht="15.75" customHeight="1" x14ac:dyDescent="0.2">
      <c r="A10" s="40"/>
      <c r="B10" s="80"/>
      <c r="M10" s="64"/>
      <c r="N10" s="380" t="s">
        <v>97</v>
      </c>
      <c r="O10" s="369" t="e">
        <f t="shared" si="0"/>
        <v>#REF!</v>
      </c>
      <c r="P10" s="379" t="e">
        <f t="shared" si="1"/>
        <v>#REF!</v>
      </c>
      <c r="Q10" s="368"/>
      <c r="R10" s="368"/>
      <c r="S10" s="373" t="e">
        <f>IF($P$4=1,$S$41,IF($P$4=2,$S$26,IF($P$4=3,S$55,"")))</f>
        <v>#REF!</v>
      </c>
      <c r="T10" s="368"/>
      <c r="U10" s="368"/>
      <c r="V10" s="370" t="e">
        <f>IF($P$4=1,$V$41,IF($P$4=2,$V$26,IF($P$4=3,$V$55,"")))</f>
        <v>#REF!</v>
      </c>
      <c r="W10" s="370" t="e">
        <f>IF($P$4=1,$W$41,IF($P$4=2,$W$26,IF($P$4=3,$W$55,"")))</f>
        <v>#REF!</v>
      </c>
      <c r="X10" s="383" t="e">
        <f t="shared" si="2"/>
        <v>#REF!</v>
      </c>
      <c r="Z10" s="64"/>
    </row>
    <row r="11" spans="1:26" s="75" customFormat="1" ht="15.75" customHeight="1" x14ac:dyDescent="0.2">
      <c r="A11" s="40"/>
      <c r="B11" s="80"/>
      <c r="M11" s="64"/>
      <c r="N11" s="380" t="s">
        <v>142</v>
      </c>
      <c r="O11" s="369" t="e">
        <f t="shared" si="0"/>
        <v>#REF!</v>
      </c>
      <c r="P11" s="379" t="e">
        <f t="shared" si="1"/>
        <v>#REF!</v>
      </c>
      <c r="Q11" s="368"/>
      <c r="R11" s="368"/>
      <c r="S11" s="370" t="e">
        <f>IF($P$4=1,$S$40,IF($P$4=2,$S$25,IF($P$4=3,S$54,"")))</f>
        <v>#REF!</v>
      </c>
      <c r="T11" s="368"/>
      <c r="U11" s="368"/>
      <c r="V11" s="370" t="e">
        <f>IF($P$4=1,$V$40,IF($P$4=2,$V$25,IF($P$4=3,$V$54,"")))</f>
        <v>#REF!</v>
      </c>
      <c r="W11" s="370" t="e">
        <f>IF($P$4=1,$W$40,IF($P$4=2,$W$25,IF($P$4=3,$W$54,"")))</f>
        <v>#REF!</v>
      </c>
      <c r="X11" s="383" t="e">
        <f t="shared" si="2"/>
        <v>#REF!</v>
      </c>
      <c r="Z11" s="64"/>
    </row>
    <row r="12" spans="1:26" s="75" customFormat="1" ht="15.75" customHeight="1" x14ac:dyDescent="0.2">
      <c r="A12" s="40"/>
      <c r="B12" s="80"/>
      <c r="M12" s="64"/>
      <c r="N12" s="382" t="s">
        <v>103</v>
      </c>
      <c r="O12" s="369" t="e">
        <f t="shared" si="0"/>
        <v>#REF!</v>
      </c>
      <c r="P12" s="379" t="e">
        <f t="shared" si="1"/>
        <v>#REF!</v>
      </c>
      <c r="Q12" s="368"/>
      <c r="R12" s="368"/>
      <c r="S12" s="371" t="e">
        <f>IF($P$4=1,$S$49,IF($P$4=2,$S$34,IF($P$4=3,S$63,"")))</f>
        <v>#REF!</v>
      </c>
      <c r="T12" s="368"/>
      <c r="U12" s="368"/>
      <c r="V12" s="371" t="e">
        <f>IF($P$4=1,$V$49,IF($P$4=2,$V$34,IF($P$4=3,$V$63,"")))</f>
        <v>#REF!</v>
      </c>
      <c r="W12" s="371" t="e">
        <f>IF($P$4=1,$W$49,IF($P$4=2,$W$34,IF($P$4=3,$W$63,"")))</f>
        <v>#REF!</v>
      </c>
      <c r="X12" s="383" t="e">
        <f t="shared" si="2"/>
        <v>#REF!</v>
      </c>
      <c r="Z12" s="64"/>
    </row>
    <row r="13" spans="1:26" s="75" customFormat="1" ht="15.75" customHeight="1" x14ac:dyDescent="0.2">
      <c r="A13" s="40"/>
      <c r="B13" s="80"/>
      <c r="M13" s="64"/>
      <c r="N13" s="381" t="s">
        <v>101</v>
      </c>
      <c r="O13" s="369" t="e">
        <f t="shared" si="0"/>
        <v>#REF!</v>
      </c>
      <c r="P13" s="379" t="e">
        <f t="shared" si="1"/>
        <v>#REF!</v>
      </c>
      <c r="Q13" s="368"/>
      <c r="R13" s="368"/>
      <c r="S13" s="370" t="e">
        <f>IF($P$4=1,$S$48,IF($P$4=2,$S$33,IF($P$4=3,S$62,"")))</f>
        <v>#REF!</v>
      </c>
      <c r="T13" s="368"/>
      <c r="U13" s="368"/>
      <c r="V13" s="370" t="e">
        <f>IF($P$4=1,$V$48,IF($P$4=2,$V$33,IF($P$4=3,$V$62,"")))</f>
        <v>#REF!</v>
      </c>
      <c r="W13" s="370" t="e">
        <f>IF($P$4=1,$W$48,IF($P$4=2,$W$33,IF($P$4=3,$W$62,"")))</f>
        <v>#REF!</v>
      </c>
      <c r="X13" s="383" t="e">
        <f t="shared" si="2"/>
        <v>#REF!</v>
      </c>
      <c r="Z13" s="64"/>
    </row>
    <row r="14" spans="1:26" s="75" customFormat="1" ht="15.75" customHeight="1" x14ac:dyDescent="0.2">
      <c r="A14" s="40"/>
      <c r="B14" s="80"/>
      <c r="M14" s="64"/>
      <c r="N14" s="380" t="s">
        <v>98</v>
      </c>
      <c r="O14" s="369" t="e">
        <f t="shared" si="0"/>
        <v>#REF!</v>
      </c>
      <c r="P14" s="379" t="e">
        <f t="shared" si="1"/>
        <v>#REF!</v>
      </c>
      <c r="Q14" s="368"/>
      <c r="R14" s="368"/>
      <c r="S14" s="370" t="e">
        <f>IF($P$4=1,$S$43,IF($P$4=2,$S$28,IF($P$4=3,S$57,"")))</f>
        <v>#REF!</v>
      </c>
      <c r="T14" s="368"/>
      <c r="U14" s="368"/>
      <c r="V14" s="370" t="e">
        <f>IF($P$4=1,$V$43,IF($P$4=2,$V$28,IF($P$4=3,$V$57,"")))</f>
        <v>#REF!</v>
      </c>
      <c r="W14" s="370" t="e">
        <f>IF($P$4=1,$W$43,IF($P$4=2,$W$28,IF($P$4=3,$W$57,"")))</f>
        <v>#REF!</v>
      </c>
      <c r="X14" s="383" t="e">
        <f t="shared" si="2"/>
        <v>#REF!</v>
      </c>
      <c r="Z14" s="64"/>
    </row>
    <row r="15" spans="1:26" s="75" customFormat="1" ht="15.75" customHeight="1" x14ac:dyDescent="0.2">
      <c r="A15" s="40"/>
      <c r="B15" s="80"/>
      <c r="M15" s="64"/>
      <c r="N15" s="390" t="s">
        <v>105</v>
      </c>
      <c r="O15" s="369" t="e">
        <f t="shared" si="0"/>
        <v>#REF!</v>
      </c>
      <c r="P15" s="379" t="e">
        <f t="shared" si="1"/>
        <v>#REF!</v>
      </c>
      <c r="Q15" s="391"/>
      <c r="R15" s="391"/>
      <c r="S15" s="392" t="e">
        <f>IF($P$4=1,$S$44,IF($P$4=2,$S$29,IF($P$4=3,S$58,"")))</f>
        <v>#REF!</v>
      </c>
      <c r="T15" s="391"/>
      <c r="U15" s="391"/>
      <c r="V15" s="392" t="e">
        <f>IF($P$4=1,$V$44,IF($P$4=2,$V$29,IF($P$4=3,$V$58,"")))</f>
        <v>#REF!</v>
      </c>
      <c r="W15" s="392" t="e">
        <f>IF($P$4=1,$W$44,IF($P$4=2,$W$29,IF($P$4=3,$W$58,"")))</f>
        <v>#REF!</v>
      </c>
      <c r="X15" s="383" t="e">
        <f t="shared" si="2"/>
        <v>#REF!</v>
      </c>
      <c r="Z15" s="64"/>
    </row>
    <row r="16" spans="1:26" s="75" customFormat="1" ht="47.25" customHeight="1" x14ac:dyDescent="0.15">
      <c r="A16" s="83"/>
      <c r="B16" s="80"/>
      <c r="C16" s="88"/>
      <c r="D16" s="88"/>
      <c r="M16" s="63"/>
    </row>
    <row r="17" spans="3:24" ht="47.25" customHeight="1" x14ac:dyDescent="0.15">
      <c r="C17" s="103"/>
      <c r="D17" s="104"/>
      <c r="N17" s="105" t="s">
        <v>137</v>
      </c>
      <c r="O17" s="71"/>
      <c r="S17" s="191" t="s">
        <v>186</v>
      </c>
      <c r="T17" s="192" t="e">
        <f>AVERAGE(X6:X15)</f>
        <v>#REF!</v>
      </c>
    </row>
    <row r="18" spans="3:24" ht="47.25" customHeight="1" x14ac:dyDescent="0.15">
      <c r="C18" s="103"/>
      <c r="D18" s="104"/>
      <c r="N18" s="105" t="s">
        <v>134</v>
      </c>
      <c r="O18" s="71">
        <v>3</v>
      </c>
    </row>
    <row r="19" spans="3:24" ht="47.25" customHeight="1" x14ac:dyDescent="0.15">
      <c r="C19" s="103"/>
      <c r="D19" s="104"/>
      <c r="N19" s="105" t="s">
        <v>27</v>
      </c>
      <c r="O19" s="71">
        <v>2</v>
      </c>
    </row>
    <row r="20" spans="3:24" ht="47.25" customHeight="1" x14ac:dyDescent="0.15">
      <c r="C20" s="103"/>
      <c r="D20" s="104"/>
      <c r="N20" s="105" t="s">
        <v>14</v>
      </c>
      <c r="O20" s="71">
        <v>1</v>
      </c>
    </row>
    <row r="21" spans="3:24" ht="47.25" customHeight="1" x14ac:dyDescent="0.15">
      <c r="C21" s="103"/>
      <c r="D21" s="104"/>
    </row>
    <row r="22" spans="3:24" ht="47.25" customHeight="1" x14ac:dyDescent="0.15">
      <c r="C22" s="103"/>
      <c r="D22" s="104"/>
    </row>
    <row r="23" spans="3:24" ht="19.5" customHeight="1" x14ac:dyDescent="0.15">
      <c r="D23" s="372" t="s">
        <v>114</v>
      </c>
      <c r="E23" s="3"/>
      <c r="F23" s="3"/>
      <c r="G23" s="3"/>
      <c r="N23" s="185" t="s">
        <v>282</v>
      </c>
      <c r="O23" s="101"/>
      <c r="P23" s="71"/>
      <c r="S23" s="102"/>
    </row>
    <row r="24" spans="3:24" ht="22.5" x14ac:dyDescent="0.15">
      <c r="D24" s="2"/>
      <c r="E24" s="2"/>
      <c r="F24" s="2"/>
      <c r="G24" s="2"/>
      <c r="N24" s="186" t="s">
        <v>135</v>
      </c>
      <c r="O24" s="187" t="s">
        <v>106</v>
      </c>
      <c r="P24" s="154" t="s">
        <v>2</v>
      </c>
      <c r="Q24" s="187" t="s">
        <v>255</v>
      </c>
      <c r="R24" s="187" t="s">
        <v>256</v>
      </c>
      <c r="S24" s="243" t="s">
        <v>136</v>
      </c>
      <c r="T24" s="241" t="s">
        <v>257</v>
      </c>
      <c r="U24" s="228" t="s">
        <v>258</v>
      </c>
      <c r="V24" s="243" t="s">
        <v>143</v>
      </c>
      <c r="W24" s="243" t="s">
        <v>132</v>
      </c>
      <c r="X24" s="228" t="s">
        <v>116</v>
      </c>
    </row>
    <row r="25" spans="3:24" ht="15" x14ac:dyDescent="0.15">
      <c r="D25" s="2"/>
      <c r="E25" s="2"/>
      <c r="F25" s="2"/>
      <c r="G25" s="2"/>
      <c r="N25" s="145" t="s">
        <v>142</v>
      </c>
      <c r="O25" s="253"/>
      <c r="P25" s="253"/>
      <c r="Q25" s="252"/>
      <c r="R25" s="252"/>
      <c r="S25" s="251" t="e">
        <f>(COUNTIFS(gender, 2, myth_man_drunk, 1))+(COUNTIFS(gender, 2, myth_man_drunk, 2))</f>
        <v>#REF!</v>
      </c>
      <c r="T25" s="254"/>
      <c r="U25" s="252"/>
      <c r="V25" s="251" t="e">
        <f>(COUNTIFS(gender, 2, myth_man_drunk, 3))+(COUNTIFS(gender, 2, myth_man_drunk, 4))</f>
        <v>#REF!</v>
      </c>
      <c r="W25" s="251" t="e">
        <f>(COUNTIFS(gender, 2, myth_man_drunk, 5))</f>
        <v>#REF!</v>
      </c>
      <c r="X25" s="252"/>
    </row>
    <row r="26" spans="3:24" ht="15" x14ac:dyDescent="0.15">
      <c r="D26" s="2"/>
      <c r="E26" s="2"/>
      <c r="F26" s="2"/>
      <c r="G26" s="2"/>
      <c r="M26" s="78"/>
      <c r="N26" s="145" t="s">
        <v>97</v>
      </c>
      <c r="O26" s="253"/>
      <c r="P26" s="253"/>
      <c r="Q26" s="252"/>
      <c r="R26" s="252"/>
      <c r="S26" s="251" t="e">
        <f>(COUNTIFS(gender, 2, myth_consent, 1))+(COUNTIFS(gender, 2, myth_consent, 2))</f>
        <v>#REF!</v>
      </c>
      <c r="T26" s="254"/>
      <c r="U26" s="252"/>
      <c r="V26" s="251" t="e">
        <f>(COUNTIFS(gender, 2, myth_consent, 3))+(COUNTIFS(gender, 2, myth_consent, 4))</f>
        <v>#REF!</v>
      </c>
      <c r="W26" s="251" t="e">
        <f>(COUNTIFS(gender, 2, myth_consent, 5))</f>
        <v>#REF!</v>
      </c>
      <c r="X26" s="252"/>
    </row>
    <row r="27" spans="3:24" ht="15" x14ac:dyDescent="0.15">
      <c r="D27" s="2"/>
      <c r="E27" s="2"/>
      <c r="F27" s="2"/>
      <c r="G27" s="2"/>
      <c r="N27" s="145" t="s">
        <v>138</v>
      </c>
      <c r="O27" s="253"/>
      <c r="P27" s="253"/>
      <c r="Q27" s="252"/>
      <c r="R27" s="252"/>
      <c r="S27" s="251" t="e">
        <f>(COUNTIFS(gender, 2, myth_says_no, 1))+(COUNTIFS(gender, 2, myth_says_no, 2))</f>
        <v>#REF!</v>
      </c>
      <c r="T27" s="254"/>
      <c r="U27" s="252"/>
      <c r="V27" s="251" t="e">
        <f>(COUNTIFS(gender, 2, myth_says_no, 3))+(COUNTIFS(gender, 2, myth_says_no, 4))</f>
        <v>#REF!</v>
      </c>
      <c r="W27" s="251" t="e">
        <f>(COUNTIFS(gender, 2, myth_says_no, 5))</f>
        <v>#REF!</v>
      </c>
      <c r="X27" s="252"/>
    </row>
    <row r="28" spans="3:24" ht="15" x14ac:dyDescent="0.15">
      <c r="D28" s="2"/>
      <c r="E28" s="2"/>
      <c r="F28" s="2"/>
      <c r="G28" s="2"/>
      <c r="N28" s="145" t="s">
        <v>98</v>
      </c>
      <c r="O28" s="253"/>
      <c r="P28" s="253"/>
      <c r="Q28" s="252"/>
      <c r="R28" s="252"/>
      <c r="S28" s="251" t="e">
        <f>(COUNTIFS(gender, 2, myth_bad_situations, 1))+(COUNTIFS(gender, 2, myth_bad_situations, 2))</f>
        <v>#REF!</v>
      </c>
      <c r="T28" s="254"/>
      <c r="U28" s="252"/>
      <c r="V28" s="251" t="e">
        <f>(COUNTIFS(gender, 2, myth_bad_situations, 3))+(COUNTIFS(gender, 2, myth_bad_situations, 4))</f>
        <v>#REF!</v>
      </c>
      <c r="W28" s="251" t="e">
        <f>(COUNTIFS(gender, 2, myth_bad_situations, 5))</f>
        <v>#REF!</v>
      </c>
      <c r="X28" s="252"/>
    </row>
    <row r="29" spans="3:24" ht="15" x14ac:dyDescent="0.15">
      <c r="D29" s="2"/>
      <c r="E29" s="2"/>
      <c r="F29" s="2"/>
      <c r="G29" s="2"/>
      <c r="N29" s="145" t="s">
        <v>105</v>
      </c>
      <c r="O29" s="253"/>
      <c r="P29" s="253"/>
      <c r="Q29" s="252"/>
      <c r="R29" s="252"/>
      <c r="S29" s="251" t="e">
        <f>(COUNTIFS(gender, 2, myth_miscommunication, 1))+(COUNTIFS(gender, 2, myth_miscommunication, 2))</f>
        <v>#REF!</v>
      </c>
      <c r="T29" s="254"/>
      <c r="U29" s="252"/>
      <c r="V29" s="251" t="e">
        <f>(COUNTIFS(gender, 2, myth_miscommunication, 3))+(COUNTIFS(gender, 2, myth_miscommunication, 4))</f>
        <v>#REF!</v>
      </c>
      <c r="W29" s="251" t="e">
        <f>(COUNTIFS(gender, 2, myth_miscommunication, 5))</f>
        <v>#REF!</v>
      </c>
      <c r="X29" s="252"/>
    </row>
    <row r="30" spans="3:24" ht="15" x14ac:dyDescent="0.15">
      <c r="N30" s="145" t="s">
        <v>100</v>
      </c>
      <c r="O30" s="253"/>
      <c r="P30" s="253"/>
      <c r="Q30" s="252"/>
      <c r="R30" s="252"/>
      <c r="S30" s="251" t="e">
        <f>(COUNTIFS(gender, 2, myth_drunk, 1))+(COUNTIFS(gender, 2, myth_drunk, 2))</f>
        <v>#REF!</v>
      </c>
      <c r="T30" s="254"/>
      <c r="U30" s="252"/>
      <c r="V30" s="251" t="e">
        <f>(COUNTIFS(gender, 2, myth_drunk, 3))+(COUNTIFS(gender, 2, myth_drunk, 4))</f>
        <v>#REF!</v>
      </c>
      <c r="W30" s="251" t="e">
        <f>(COUNTIFS(gender, 2, myth_drunk, 5))</f>
        <v>#REF!</v>
      </c>
      <c r="X30" s="252"/>
    </row>
    <row r="31" spans="3:24" ht="15" x14ac:dyDescent="0.15">
      <c r="N31" s="145" t="s">
        <v>99</v>
      </c>
      <c r="O31" s="253"/>
      <c r="P31" s="253"/>
      <c r="Q31" s="252"/>
      <c r="R31" s="252"/>
      <c r="S31" s="251" t="e">
        <f>(COUNTIFS(gender, 2, myth_regret, 1))+(COUNTIFS(gender, 2, myth_regret, 2))</f>
        <v>#REF!</v>
      </c>
      <c r="T31" s="254"/>
      <c r="U31" s="252"/>
      <c r="V31" s="251" t="e">
        <f>(COUNTIFS(gender, 2, myth_regret, 3))+(COUNTIFS(gender, 2, myth_regret, 4))</f>
        <v>#REF!</v>
      </c>
      <c r="W31" s="251" t="e">
        <f>(COUNTIFS(gender, 2, myth_regret, 5))</f>
        <v>#REF!</v>
      </c>
      <c r="X31" s="252"/>
    </row>
    <row r="32" spans="3:24" ht="15" x14ac:dyDescent="0.15">
      <c r="N32" s="145" t="s">
        <v>102</v>
      </c>
      <c r="O32" s="253"/>
      <c r="P32" s="253"/>
      <c r="Q32" s="252"/>
      <c r="R32" s="252"/>
      <c r="S32" s="251" t="e">
        <f>(COUNTIFS(gender, 2, myth_hookup, 1))+(COUNTIFS(gender, 2, myth_hookup, 2))</f>
        <v>#REF!</v>
      </c>
      <c r="T32" s="254"/>
      <c r="U32" s="252"/>
      <c r="V32" s="251" t="e">
        <f>(COUNTIFS(gender, 2, myth_hookup, 3))+(COUNTIFS(gender, 2, myth_hookup, 4))</f>
        <v>#REF!</v>
      </c>
      <c r="W32" s="251" t="e">
        <f>(COUNTIFS(gender, 2, myth_hookup, 5))</f>
        <v>#REF!</v>
      </c>
      <c r="X32" s="252"/>
    </row>
    <row r="33" spans="4:24" ht="15" x14ac:dyDescent="0.15">
      <c r="N33" s="145" t="s">
        <v>101</v>
      </c>
      <c r="O33" s="253"/>
      <c r="P33" s="253"/>
      <c r="Q33" s="252"/>
      <c r="R33" s="252"/>
      <c r="S33" s="251" t="e">
        <f>(COUNTIFS(gender, 2, myth_carried_away, 1))+(COUNTIFS(gender, 2, myth_carried_away, 2))</f>
        <v>#REF!</v>
      </c>
      <c r="T33" s="254"/>
      <c r="U33" s="252"/>
      <c r="V33" s="251" t="e">
        <f>(COUNTIFS(gender, 2, myth_carried_away, 3))+(COUNTIFS(gender, 2, myth_carried_away, 4))</f>
        <v>#REF!</v>
      </c>
      <c r="W33" s="251" t="e">
        <f>(COUNTIFS(gender, 2, myth_carried_away, 5))</f>
        <v>#REF!</v>
      </c>
      <c r="X33" s="252"/>
    </row>
    <row r="34" spans="4:24" ht="15" x14ac:dyDescent="0.15">
      <c r="N34" s="132" t="s">
        <v>103</v>
      </c>
      <c r="O34" s="253"/>
      <c r="P34" s="253"/>
      <c r="Q34" s="252"/>
      <c r="R34" s="252"/>
      <c r="S34" s="251" t="e">
        <f>(COUNTIFS(gender, 2, myth_unintentional, 1))+(COUNTIFS(gender, 2, myth_unintentional, 2))</f>
        <v>#REF!</v>
      </c>
      <c r="T34" s="254"/>
      <c r="U34" s="252"/>
      <c r="V34" s="251" t="e">
        <f>(COUNTIFS(gender, 2, myth_unintentional, 3))+(COUNTIFS(gender, 2, myth_unintentional, 4))</f>
        <v>#REF!</v>
      </c>
      <c r="W34" s="251" t="e">
        <f>(COUNTIFS(gender, 2, myth_unintentional, 5))</f>
        <v>#REF!</v>
      </c>
      <c r="X34" s="252"/>
    </row>
    <row r="38" spans="4:24" x14ac:dyDescent="0.15">
      <c r="N38" s="185" t="s">
        <v>276</v>
      </c>
      <c r="O38" s="101"/>
      <c r="P38" s="71"/>
    </row>
    <row r="39" spans="4:24" ht="22.5" x14ac:dyDescent="0.15">
      <c r="N39" s="186" t="s">
        <v>135</v>
      </c>
      <c r="O39" s="187" t="s">
        <v>106</v>
      </c>
      <c r="P39" s="154" t="s">
        <v>2</v>
      </c>
      <c r="Q39" s="187" t="s">
        <v>255</v>
      </c>
      <c r="R39" s="187" t="s">
        <v>256</v>
      </c>
      <c r="S39" s="243" t="s">
        <v>136</v>
      </c>
      <c r="T39" s="241" t="s">
        <v>257</v>
      </c>
      <c r="U39" s="228" t="s">
        <v>258</v>
      </c>
      <c r="V39" s="243" t="s">
        <v>143</v>
      </c>
      <c r="W39" s="243" t="s">
        <v>132</v>
      </c>
      <c r="X39" s="228" t="s">
        <v>116</v>
      </c>
    </row>
    <row r="40" spans="4:24" ht="15" x14ac:dyDescent="0.15">
      <c r="N40" s="145" t="s">
        <v>142</v>
      </c>
      <c r="O40" s="253"/>
      <c r="P40" s="253"/>
      <c r="Q40" s="252"/>
      <c r="R40" s="252"/>
      <c r="S40" s="251" t="e">
        <f>(COUNTIFS(gender, 1, myth_man_drunk, 1))+(COUNTIFS(gender, 1, myth_man_drunk, 2))</f>
        <v>#REF!</v>
      </c>
      <c r="T40" s="254"/>
      <c r="U40" s="252"/>
      <c r="V40" s="251" t="e">
        <f>(COUNTIFS(gender, 1, myth_man_drunk, 3))+(COUNTIFS(gender, 1, myth_man_drunk, 4))</f>
        <v>#REF!</v>
      </c>
      <c r="W40" s="251" t="e">
        <f>(COUNTIFS(gender, 1, myth_man_drunk, 5))</f>
        <v>#REF!</v>
      </c>
      <c r="X40" s="252"/>
    </row>
    <row r="41" spans="4:24" ht="15" x14ac:dyDescent="0.15">
      <c r="N41" s="145" t="s">
        <v>97</v>
      </c>
      <c r="O41" s="253"/>
      <c r="P41" s="253"/>
      <c r="Q41" s="252"/>
      <c r="R41" s="252"/>
      <c r="S41" s="251" t="e">
        <f>(COUNTIFS(gender, 1, myth_consent, 1))+(COUNTIFS(gender, 1, myth_consent, 2))</f>
        <v>#REF!</v>
      </c>
      <c r="T41" s="254"/>
      <c r="U41" s="252"/>
      <c r="V41" s="251" t="e">
        <f>(COUNTIFS(gender, 1, myth_consent, 3))+(COUNTIFS(gender, 1, myth_consent, 4))</f>
        <v>#REF!</v>
      </c>
      <c r="W41" s="251" t="e">
        <f>(COUNTIFS(gender, 1, myth_consent, 5))</f>
        <v>#REF!</v>
      </c>
      <c r="X41" s="252"/>
    </row>
    <row r="42" spans="4:24" ht="15" x14ac:dyDescent="0.15">
      <c r="N42" s="145" t="s">
        <v>138</v>
      </c>
      <c r="O42" s="253"/>
      <c r="P42" s="253"/>
      <c r="Q42" s="252"/>
      <c r="R42" s="252"/>
      <c r="S42" s="251" t="e">
        <f>(COUNTIFS(gender, 1, myth_says_no, 1))+(COUNTIFS(gender, 1, myth_says_no, 2))</f>
        <v>#REF!</v>
      </c>
      <c r="T42" s="254"/>
      <c r="U42" s="252"/>
      <c r="V42" s="251" t="e">
        <f>(COUNTIFS(gender, 1, myth_says_no, 3))+(COUNTIFS(gender, 1, myth_says_no, 4))</f>
        <v>#REF!</v>
      </c>
      <c r="W42" s="251" t="e">
        <f>(COUNTIFS(gender, 1, myth_says_no, 5))</f>
        <v>#REF!</v>
      </c>
      <c r="X42" s="252"/>
    </row>
    <row r="43" spans="4:24" ht="15" x14ac:dyDescent="0.15">
      <c r="D43" s="52" t="s">
        <v>122</v>
      </c>
      <c r="E43" s="188" t="e">
        <f>P77</f>
        <v>#REF!</v>
      </c>
      <c r="F43" s="2"/>
      <c r="G43" s="2"/>
      <c r="N43" s="145" t="s">
        <v>98</v>
      </c>
      <c r="O43" s="253"/>
      <c r="P43" s="253"/>
      <c r="Q43" s="252"/>
      <c r="R43" s="252"/>
      <c r="S43" s="251" t="e">
        <f>(COUNTIFS(gender, 1, myth_bad_situations, 1))+(COUNTIFS(gender, 1, myth_bad_situations, 2))</f>
        <v>#REF!</v>
      </c>
      <c r="T43" s="254"/>
      <c r="U43" s="252"/>
      <c r="V43" s="251" t="e">
        <f>(COUNTIFS(gender, 1, myth_bad_situations, 3))+(COUNTIFS(gender, 1, myth_bad_situations, 4))</f>
        <v>#REF!</v>
      </c>
      <c r="W43" s="251" t="e">
        <f>(COUNTIFS(gender, 1, myth_bad_situations, 5))</f>
        <v>#REF!</v>
      </c>
      <c r="X43" s="252"/>
    </row>
    <row r="44" spans="4:24" ht="15" x14ac:dyDescent="0.15">
      <c r="D44" s="2"/>
      <c r="E44" s="2"/>
      <c r="F44" s="2"/>
      <c r="G44" s="2"/>
      <c r="N44" s="145" t="s">
        <v>105</v>
      </c>
      <c r="O44" s="253"/>
      <c r="P44" s="253"/>
      <c r="Q44" s="252"/>
      <c r="R44" s="252"/>
      <c r="S44" s="251" t="e">
        <f>(COUNTIFS(gender, 1, myth_miscommunication, 1))+(COUNTIFS(gender, 1, myth_miscommunication, 2))</f>
        <v>#REF!</v>
      </c>
      <c r="T44" s="254"/>
      <c r="U44" s="252"/>
      <c r="V44" s="251" t="e">
        <f>(COUNTIFS(gender, 1, myth_miscommunication, 3))+(COUNTIFS(gender, 1, myth_miscommunication, 4))</f>
        <v>#REF!</v>
      </c>
      <c r="W44" s="251" t="e">
        <f>(COUNTIFS(gender, 1, myth_miscommunication, 5))</f>
        <v>#REF!</v>
      </c>
      <c r="X44" s="252"/>
    </row>
    <row r="45" spans="4:24" ht="15" x14ac:dyDescent="0.15">
      <c r="D45" s="2"/>
      <c r="E45" s="2"/>
      <c r="F45" s="2"/>
      <c r="G45" s="2"/>
      <c r="N45" s="145" t="s">
        <v>100</v>
      </c>
      <c r="O45" s="253"/>
      <c r="P45" s="253"/>
      <c r="Q45" s="252"/>
      <c r="R45" s="252"/>
      <c r="S45" s="251" t="e">
        <f>(COUNTIFS(gender, 1, myth_drunk, 1))+(COUNTIFS(gender, 1, myth_drunk, 2))</f>
        <v>#REF!</v>
      </c>
      <c r="T45" s="254"/>
      <c r="U45" s="252"/>
      <c r="V45" s="251" t="e">
        <f>(COUNTIFS(gender, 1, myth_drunk, 3))+(COUNTIFS(gender, 1, myth_drunk, 4))</f>
        <v>#REF!</v>
      </c>
      <c r="W45" s="251" t="e">
        <f>(COUNTIFS(gender, 1, myth_drunk, 5))</f>
        <v>#REF!</v>
      </c>
      <c r="X45" s="252"/>
    </row>
    <row r="46" spans="4:24" ht="15" x14ac:dyDescent="0.15">
      <c r="D46" s="2"/>
      <c r="E46" s="2"/>
      <c r="F46" s="2"/>
      <c r="G46" s="2"/>
      <c r="N46" s="145" t="s">
        <v>99</v>
      </c>
      <c r="O46" s="253"/>
      <c r="P46" s="253"/>
      <c r="Q46" s="252"/>
      <c r="R46" s="252"/>
      <c r="S46" s="251" t="e">
        <f>(COUNTIFS(gender, 1, myth_regret, 1))+(COUNTIFS(gender, 1, myth_regret, 2))</f>
        <v>#REF!</v>
      </c>
      <c r="T46" s="254"/>
      <c r="U46" s="252"/>
      <c r="V46" s="251" t="e">
        <f>(COUNTIFS(gender, 1, myth_regret, 3))+(COUNTIFS(gender, 1, myth_regret, 4))</f>
        <v>#REF!</v>
      </c>
      <c r="W46" s="251" t="e">
        <f>(COUNTIFS(gender, 1, myth_regret, 5))</f>
        <v>#REF!</v>
      </c>
      <c r="X46" s="252"/>
    </row>
    <row r="47" spans="4:24" ht="15" x14ac:dyDescent="0.15">
      <c r="D47" s="2"/>
      <c r="E47" s="2"/>
      <c r="F47" s="2"/>
      <c r="G47" s="2"/>
      <c r="N47" s="145" t="s">
        <v>102</v>
      </c>
      <c r="O47" s="253"/>
      <c r="P47" s="253"/>
      <c r="Q47" s="252"/>
      <c r="R47" s="252"/>
      <c r="S47" s="251" t="e">
        <f>(COUNTIFS(gender, 1, myth_hookup, 1))+(COUNTIFS(gender, 1, myth_hookup, 2))</f>
        <v>#REF!</v>
      </c>
      <c r="T47" s="254"/>
      <c r="U47" s="252"/>
      <c r="V47" s="251" t="e">
        <f>(COUNTIFS(gender, 1, myth_hookup, 3))+(COUNTIFS(gender, 1, myth_hookup, 4))</f>
        <v>#REF!</v>
      </c>
      <c r="W47" s="251" t="e">
        <f>(COUNTIFS(gender, 1, myth_hookup, 5))</f>
        <v>#REF!</v>
      </c>
      <c r="X47" s="252"/>
    </row>
    <row r="48" spans="4:24" ht="15" x14ac:dyDescent="0.15">
      <c r="F48" s="189"/>
      <c r="G48" s="189"/>
      <c r="N48" s="145" t="s">
        <v>101</v>
      </c>
      <c r="O48" s="253"/>
      <c r="P48" s="253"/>
      <c r="Q48" s="252"/>
      <c r="R48" s="252"/>
      <c r="S48" s="251" t="e">
        <f>(COUNTIFS(gender, 1, myth_carried_away, 1))+(COUNTIFS(gender, 1, myth_carried_away, 2))</f>
        <v>#REF!</v>
      </c>
      <c r="T48" s="254"/>
      <c r="U48" s="252"/>
      <c r="V48" s="251" t="e">
        <f>(COUNTIFS(gender, 1, myth_carried_away, 3))+(COUNTIFS(gender, 1, myth_carried_away, 4))</f>
        <v>#REF!</v>
      </c>
      <c r="W48" s="251" t="e">
        <f>(COUNTIFS(gender, 1, myth_carried_away, 5))</f>
        <v>#REF!</v>
      </c>
      <c r="X48" s="252"/>
    </row>
    <row r="49" spans="14:24" ht="15" x14ac:dyDescent="0.15">
      <c r="N49" s="132" t="s">
        <v>103</v>
      </c>
      <c r="O49" s="253"/>
      <c r="P49" s="253"/>
      <c r="Q49" s="252"/>
      <c r="R49" s="252"/>
      <c r="S49" s="251" t="e">
        <f>(COUNTIFS(gender, 1, myth_unintentional, 1))+(COUNTIFS(gender, 1, myth_unintentional, 2))</f>
        <v>#REF!</v>
      </c>
      <c r="T49" s="254"/>
      <c r="U49" s="252"/>
      <c r="V49" s="251" t="e">
        <f>(COUNTIFS(gender, 1, myth_unintentional, 3))+(COUNTIFS(gender, 1, myth_unintentional, 4))</f>
        <v>#REF!</v>
      </c>
      <c r="W49" s="251" t="e">
        <f>(COUNTIFS(gender, 1, myth_unintentional, 5))</f>
        <v>#REF!</v>
      </c>
      <c r="X49" s="252"/>
    </row>
    <row r="52" spans="14:24" x14ac:dyDescent="0.15">
      <c r="N52" s="185" t="s">
        <v>277</v>
      </c>
      <c r="O52" s="101"/>
      <c r="P52" s="71"/>
    </row>
    <row r="53" spans="14:24" ht="22.5" x14ac:dyDescent="0.15">
      <c r="N53" s="186" t="s">
        <v>135</v>
      </c>
      <c r="O53" s="187" t="s">
        <v>106</v>
      </c>
      <c r="P53" s="154" t="s">
        <v>2</v>
      </c>
      <c r="Q53" s="187" t="s">
        <v>255</v>
      </c>
      <c r="R53" s="187" t="s">
        <v>256</v>
      </c>
      <c r="S53" s="243" t="s">
        <v>136</v>
      </c>
      <c r="T53" s="241" t="s">
        <v>257</v>
      </c>
      <c r="U53" s="228" t="s">
        <v>258</v>
      </c>
      <c r="V53" s="243" t="s">
        <v>143</v>
      </c>
      <c r="W53" s="243" t="s">
        <v>132</v>
      </c>
      <c r="X53" s="228" t="s">
        <v>116</v>
      </c>
    </row>
    <row r="54" spans="14:24" ht="15" x14ac:dyDescent="0.15">
      <c r="N54" s="145" t="s">
        <v>142</v>
      </c>
      <c r="O54" s="253"/>
      <c r="P54" s="253"/>
      <c r="Q54" s="252"/>
      <c r="R54" s="252"/>
      <c r="S54" s="251" t="e">
        <f>(COUNTIFS( myth_man_drunk, 1))+(COUNTIFS(myth_man_drunk, 2))</f>
        <v>#REF!</v>
      </c>
      <c r="T54" s="254"/>
      <c r="U54" s="252"/>
      <c r="V54" s="251" t="e">
        <f>(COUNTIFS(myth_man_drunk, 3))+(COUNTIFS(myth_man_drunk, 4))</f>
        <v>#REF!</v>
      </c>
      <c r="W54" s="251" t="e">
        <f>(COUNTIFS(myth_man_drunk, 5))</f>
        <v>#REF!</v>
      </c>
      <c r="X54" s="252"/>
    </row>
    <row r="55" spans="14:24" ht="15" x14ac:dyDescent="0.15">
      <c r="N55" s="145" t="s">
        <v>97</v>
      </c>
      <c r="O55" s="253"/>
      <c r="P55" s="253"/>
      <c r="Q55" s="252"/>
      <c r="R55" s="252"/>
      <c r="S55" s="251" t="e">
        <f>(COUNTIFS(myth_consent, 1))+(COUNTIFS(myth_consent, 2))</f>
        <v>#REF!</v>
      </c>
      <c r="T55" s="254"/>
      <c r="U55" s="252"/>
      <c r="V55" s="251" t="e">
        <f>(COUNTIFS(myth_consent, 3))+(COUNTIFS(myth_consent, 4))</f>
        <v>#REF!</v>
      </c>
      <c r="W55" s="251" t="e">
        <f>(COUNTIFS(myth_consent, 5))</f>
        <v>#REF!</v>
      </c>
      <c r="X55" s="252"/>
    </row>
    <row r="56" spans="14:24" ht="15" x14ac:dyDescent="0.15">
      <c r="N56" s="145" t="s">
        <v>138</v>
      </c>
      <c r="O56" s="253"/>
      <c r="P56" s="253"/>
      <c r="Q56" s="252"/>
      <c r="R56" s="252"/>
      <c r="S56" s="251" t="e">
        <f>(COUNTIFS(myth_says_no, 1))+(COUNTIFS(myth_says_no, 2))</f>
        <v>#REF!</v>
      </c>
      <c r="T56" s="254"/>
      <c r="U56" s="252"/>
      <c r="V56" s="251" t="e">
        <f>(COUNTIFS(myth_says_no, 3))+(COUNTIFS(myth_says_no, 4))</f>
        <v>#REF!</v>
      </c>
      <c r="W56" s="251" t="e">
        <f>(COUNTIFS(myth_says_no, 5))</f>
        <v>#REF!</v>
      </c>
      <c r="X56" s="252"/>
    </row>
    <row r="57" spans="14:24" ht="15" x14ac:dyDescent="0.15">
      <c r="N57" s="145" t="s">
        <v>98</v>
      </c>
      <c r="O57" s="253"/>
      <c r="P57" s="253"/>
      <c r="Q57" s="252"/>
      <c r="R57" s="252"/>
      <c r="S57" s="251" t="e">
        <f>(COUNTIFS(myth_bad_situations, 1))+(COUNTIFS(myth_bad_situations, 2))</f>
        <v>#REF!</v>
      </c>
      <c r="T57" s="254"/>
      <c r="U57" s="252"/>
      <c r="V57" s="251" t="e">
        <f>(COUNTIFS(myth_bad_situations, 3))+(COUNTIFS(myth_bad_situations, 4))</f>
        <v>#REF!</v>
      </c>
      <c r="W57" s="251" t="e">
        <f>(COUNTIFS(myth_bad_situations, 5))</f>
        <v>#REF!</v>
      </c>
      <c r="X57" s="252"/>
    </row>
    <row r="58" spans="14:24" ht="15" x14ac:dyDescent="0.15">
      <c r="N58" s="145" t="s">
        <v>105</v>
      </c>
      <c r="O58" s="253"/>
      <c r="P58" s="253"/>
      <c r="Q58" s="252"/>
      <c r="R58" s="252"/>
      <c r="S58" s="251" t="e">
        <f>(COUNTIFS(myth_miscommunication, 1))+(COUNTIFS(myth_miscommunication, 2))</f>
        <v>#REF!</v>
      </c>
      <c r="T58" s="254"/>
      <c r="U58" s="252"/>
      <c r="V58" s="251" t="e">
        <f>(COUNTIFS(myth_miscommunication, 3))+(COUNTIFS(myth_miscommunication, 4))</f>
        <v>#REF!</v>
      </c>
      <c r="W58" s="251" t="e">
        <f>(COUNTIFS(myth_miscommunication, 5))</f>
        <v>#REF!</v>
      </c>
      <c r="X58" s="252"/>
    </row>
    <row r="59" spans="14:24" ht="15" x14ac:dyDescent="0.15">
      <c r="N59" s="145" t="s">
        <v>100</v>
      </c>
      <c r="O59" s="253"/>
      <c r="P59" s="253"/>
      <c r="Q59" s="252"/>
      <c r="R59" s="252"/>
      <c r="S59" s="251" t="e">
        <f>(COUNTIFS(myth_drunk, 1))+(COUNTIFS(myth_drunk, 2))</f>
        <v>#REF!</v>
      </c>
      <c r="T59" s="254"/>
      <c r="U59" s="252"/>
      <c r="V59" s="251" t="e">
        <f>(COUNTIFS(myth_drunk, 3))+(COUNTIFS(myth_drunk, 4))</f>
        <v>#REF!</v>
      </c>
      <c r="W59" s="251" t="e">
        <f>(COUNTIFS(myth_drunk, 5))</f>
        <v>#REF!</v>
      </c>
      <c r="X59" s="252"/>
    </row>
    <row r="60" spans="14:24" ht="15" x14ac:dyDescent="0.15">
      <c r="N60" s="145" t="s">
        <v>99</v>
      </c>
      <c r="O60" s="253"/>
      <c r="P60" s="253"/>
      <c r="Q60" s="252"/>
      <c r="R60" s="252"/>
      <c r="S60" s="251" t="e">
        <f>(COUNTIFS(myth_regret, 1))+(COUNTIFS(myth_regret, 2))</f>
        <v>#REF!</v>
      </c>
      <c r="T60" s="254"/>
      <c r="U60" s="252"/>
      <c r="V60" s="251" t="e">
        <f>(COUNTIFS(myth_regret, 3))+(COUNTIFS(myth_regret, 4))</f>
        <v>#REF!</v>
      </c>
      <c r="W60" s="251" t="e">
        <f>(COUNTIFS(myth_regret, 5))</f>
        <v>#REF!</v>
      </c>
      <c r="X60" s="252"/>
    </row>
    <row r="61" spans="14:24" ht="15" x14ac:dyDescent="0.15">
      <c r="N61" s="145" t="s">
        <v>102</v>
      </c>
      <c r="O61" s="253"/>
      <c r="P61" s="253"/>
      <c r="Q61" s="252"/>
      <c r="R61" s="252"/>
      <c r="S61" s="251" t="e">
        <f>(COUNTIFS(myth_hookup, 1))+(COUNTIFS(myth_hookup, 2))</f>
        <v>#REF!</v>
      </c>
      <c r="T61" s="254"/>
      <c r="U61" s="252"/>
      <c r="V61" s="251" t="e">
        <f>(COUNTIFS(myth_hookup, 3))+(COUNTIFS(myth_hookup, 4))</f>
        <v>#REF!</v>
      </c>
      <c r="W61" s="251" t="e">
        <f>(COUNTIFS(myth_hookup, 5))</f>
        <v>#REF!</v>
      </c>
      <c r="X61" s="252"/>
    </row>
    <row r="62" spans="14:24" ht="15" x14ac:dyDescent="0.15">
      <c r="N62" s="145" t="s">
        <v>101</v>
      </c>
      <c r="O62" s="253"/>
      <c r="P62" s="253"/>
      <c r="Q62" s="252"/>
      <c r="R62" s="252"/>
      <c r="S62" s="251" t="e">
        <f>(COUNTIFS(myth_carried_away, 1))+(COUNTIFS(myth_carried_away, 2))</f>
        <v>#REF!</v>
      </c>
      <c r="T62" s="254"/>
      <c r="U62" s="252"/>
      <c r="V62" s="251" t="e">
        <f>(COUNTIFS(myth_carried_away, 3))+(COUNTIFS(myth_carried_away, 4))</f>
        <v>#REF!</v>
      </c>
      <c r="W62" s="251" t="e">
        <f>(COUNTIFS(myth_carried_away, 5))</f>
        <v>#REF!</v>
      </c>
      <c r="X62" s="252"/>
    </row>
    <row r="63" spans="14:24" ht="15" x14ac:dyDescent="0.15">
      <c r="N63" s="132" t="s">
        <v>103</v>
      </c>
      <c r="O63" s="253"/>
      <c r="P63" s="253"/>
      <c r="Q63" s="252"/>
      <c r="R63" s="252"/>
      <c r="S63" s="251" t="e">
        <f>(COUNTIFS(myth_unintentional, 1))+(COUNTIFS(myth_unintentional, 2))</f>
        <v>#REF!</v>
      </c>
      <c r="T63" s="254"/>
      <c r="U63" s="252"/>
      <c r="V63" s="251" t="e">
        <f>(COUNTIFS(myth_unintentional, 3))+(COUNTIFS(myth_unintentional, 4))</f>
        <v>#REF!</v>
      </c>
      <c r="W63" s="251" t="e">
        <f>(COUNTIFS(myth_unintentional, 5))</f>
        <v>#REF!</v>
      </c>
      <c r="X63" s="252"/>
    </row>
    <row r="69" spans="14:33" x14ac:dyDescent="0.15">
      <c r="N69" s="2"/>
      <c r="O69" s="2"/>
      <c r="P69" s="2"/>
      <c r="Q69" s="2"/>
      <c r="R69" s="2"/>
      <c r="S69" s="2"/>
      <c r="T69" s="2"/>
      <c r="U69" s="2"/>
      <c r="V69" s="2"/>
      <c r="W69" s="2"/>
      <c r="X69" s="2"/>
      <c r="Y69" s="2"/>
      <c r="Z69" s="2"/>
      <c r="AA69" s="2"/>
      <c r="AB69" s="2"/>
      <c r="AC69" s="2"/>
      <c r="AD69" s="2"/>
      <c r="AE69" s="2"/>
      <c r="AF69" s="2"/>
      <c r="AG69" s="2"/>
    </row>
    <row r="70" spans="14:33" ht="14.25" x14ac:dyDescent="0.15">
      <c r="N70" s="110"/>
      <c r="O70" s="110"/>
      <c r="P70" s="110"/>
      <c r="Q70" s="110"/>
      <c r="R70" s="110"/>
      <c r="S70" s="112" t="s">
        <v>114</v>
      </c>
      <c r="T70" s="112">
        <v>3</v>
      </c>
      <c r="U70" s="110"/>
      <c r="V70" s="110"/>
      <c r="W70" s="110"/>
      <c r="X70" s="110"/>
      <c r="Y70" s="2"/>
      <c r="Z70" s="2"/>
      <c r="AA70" s="2"/>
      <c r="AB70" s="2"/>
      <c r="AC70" s="2"/>
      <c r="AD70" s="2"/>
      <c r="AE70" s="2"/>
      <c r="AF70" s="2"/>
      <c r="AG70" s="2"/>
    </row>
    <row r="71" spans="14:33" x14ac:dyDescent="0.15">
      <c r="N71" s="180" t="s">
        <v>191</v>
      </c>
      <c r="O71" s="13" t="str">
        <f>D23</f>
        <v>All Students</v>
      </c>
      <c r="P71" s="45">
        <f>VLOOKUP(O71,S$70:T$72,2,0)</f>
        <v>3</v>
      </c>
      <c r="Q71" s="2"/>
      <c r="R71" s="2"/>
      <c r="S71" s="2" t="s">
        <v>14</v>
      </c>
      <c r="T71" s="55">
        <v>1</v>
      </c>
      <c r="U71" s="2"/>
      <c r="V71" s="2"/>
      <c r="W71" s="2"/>
      <c r="X71" s="2"/>
      <c r="Y71" s="2"/>
      <c r="Z71" s="2"/>
      <c r="AA71" s="2"/>
      <c r="AB71" s="2"/>
      <c r="AC71" s="2"/>
      <c r="AD71" s="2"/>
      <c r="AE71" s="2"/>
      <c r="AF71" s="2"/>
      <c r="AG71" s="2"/>
    </row>
    <row r="72" spans="14:33" x14ac:dyDescent="0.15">
      <c r="N72" s="246" t="s">
        <v>311</v>
      </c>
      <c r="O72" s="247" t="s">
        <v>6</v>
      </c>
      <c r="P72" s="246" t="s">
        <v>117</v>
      </c>
      <c r="Q72" s="2"/>
      <c r="R72" s="2"/>
      <c r="S72" s="2" t="s">
        <v>27</v>
      </c>
      <c r="T72" s="55">
        <v>2</v>
      </c>
      <c r="U72" s="2"/>
      <c r="V72" s="14" t="s">
        <v>273</v>
      </c>
      <c r="W72" s="2"/>
      <c r="X72" s="2"/>
      <c r="Y72" s="2"/>
      <c r="Z72" s="14" t="s">
        <v>274</v>
      </c>
      <c r="AA72" s="2"/>
      <c r="AB72" s="2"/>
      <c r="AC72" s="2"/>
      <c r="AD72" s="14" t="s">
        <v>275</v>
      </c>
      <c r="AE72" s="2"/>
      <c r="AF72" s="2"/>
      <c r="AG72" s="2"/>
    </row>
    <row r="73" spans="14:33" x14ac:dyDescent="0.15">
      <c r="N73" s="128" t="s">
        <v>151</v>
      </c>
      <c r="O73" s="127" t="e">
        <f>P73/P$77</f>
        <v>#REF!</v>
      </c>
      <c r="P73" s="250" t="e">
        <f>IF($P$71=1, X74, IF($P$71=2, AB74, IF($P$71=3, AF74, "")))</f>
        <v>#REF!</v>
      </c>
      <c r="Q73" s="2"/>
      <c r="R73" s="2"/>
      <c r="S73" s="2"/>
      <c r="T73" s="55"/>
      <c r="U73" s="2"/>
      <c r="V73" s="125" t="s">
        <v>155</v>
      </c>
      <c r="W73" s="163" t="s">
        <v>6</v>
      </c>
      <c r="X73" s="125" t="s">
        <v>117</v>
      </c>
      <c r="Y73" s="2"/>
      <c r="Z73" s="125" t="s">
        <v>155</v>
      </c>
      <c r="AA73" s="163" t="s">
        <v>6</v>
      </c>
      <c r="AB73" s="125" t="s">
        <v>117</v>
      </c>
      <c r="AC73" s="2"/>
      <c r="AD73" s="125" t="s">
        <v>155</v>
      </c>
      <c r="AE73" s="163" t="s">
        <v>6</v>
      </c>
      <c r="AF73" s="125" t="s">
        <v>117</v>
      </c>
      <c r="AG73" s="2"/>
    </row>
    <row r="74" spans="14:33" x14ac:dyDescent="0.15">
      <c r="N74" s="126" t="s">
        <v>150</v>
      </c>
      <c r="O74" s="127" t="e">
        <f t="shared" ref="O74:O76" si="3">P74/P$77</f>
        <v>#REF!</v>
      </c>
      <c r="P74" s="250" t="e">
        <f>IF($P$71=1, X75, IF($P$71=2, AB75, IF($P$71=3, AF75, "")))</f>
        <v>#REF!</v>
      </c>
      <c r="Q74" s="2"/>
      <c r="R74" s="2"/>
      <c r="S74" s="3"/>
      <c r="T74" s="11"/>
      <c r="U74" s="54"/>
      <c r="V74" s="128" t="s">
        <v>151</v>
      </c>
      <c r="W74" s="127" t="e">
        <f>X74/$P$77</f>
        <v>#REF!</v>
      </c>
      <c r="X74" s="141" t="e">
        <f>COUNTIFS(gender, 1, sv_prob, 4)</f>
        <v>#REF!</v>
      </c>
      <c r="Y74" s="2"/>
      <c r="Z74" s="128" t="s">
        <v>151</v>
      </c>
      <c r="AA74" s="127" t="e">
        <f>AB74/$P$77</f>
        <v>#REF!</v>
      </c>
      <c r="AB74" s="141" t="e">
        <f>COUNTIFS(gender, 2, sv_prob, 4)</f>
        <v>#REF!</v>
      </c>
      <c r="AC74" s="2"/>
      <c r="AD74" s="128" t="s">
        <v>151</v>
      </c>
      <c r="AE74" s="127" t="e">
        <f>AF74/$P$77</f>
        <v>#REF!</v>
      </c>
      <c r="AF74" s="141" t="e">
        <f>COUNTIF(sv_prob, 4)</f>
        <v>#REF!</v>
      </c>
      <c r="AG74" s="2"/>
    </row>
    <row r="75" spans="14:33" x14ac:dyDescent="0.15">
      <c r="N75" s="126" t="s">
        <v>149</v>
      </c>
      <c r="O75" s="127" t="e">
        <f t="shared" si="3"/>
        <v>#REF!</v>
      </c>
      <c r="P75" s="250" t="e">
        <f>IF($P$71=1, X76, IF($P$71=2, AB76, IF($P$71=3, AF76, "")))</f>
        <v>#REF!</v>
      </c>
      <c r="Q75" s="2"/>
      <c r="R75" s="2"/>
      <c r="S75" s="2"/>
      <c r="T75" s="11"/>
      <c r="U75" s="54"/>
      <c r="V75" s="126" t="s">
        <v>150</v>
      </c>
      <c r="W75" s="127" t="e">
        <f t="shared" ref="W75:W77" si="4">X75/$P$77</f>
        <v>#REF!</v>
      </c>
      <c r="X75" s="141" t="e">
        <f>COUNTIFS(gender, 1, sv_prob, 1)</f>
        <v>#REF!</v>
      </c>
      <c r="Y75" s="2"/>
      <c r="Z75" s="126" t="s">
        <v>150</v>
      </c>
      <c r="AA75" s="127" t="e">
        <f t="shared" ref="AA75:AA77" si="5">AB75/$P$77</f>
        <v>#REF!</v>
      </c>
      <c r="AB75" s="141" t="e">
        <f>COUNTIFS(gender, 2, sv_prob, 1)</f>
        <v>#REF!</v>
      </c>
      <c r="AC75" s="2"/>
      <c r="AD75" s="126" t="s">
        <v>150</v>
      </c>
      <c r="AE75" s="127" t="e">
        <f t="shared" ref="AE75:AE77" si="6">AF75/$P$77</f>
        <v>#REF!</v>
      </c>
      <c r="AF75" s="141" t="e">
        <f>COUNTIF(sv_prob, 1)</f>
        <v>#REF!</v>
      </c>
      <c r="AG75" s="2"/>
    </row>
    <row r="76" spans="14:33" x14ac:dyDescent="0.15">
      <c r="N76" s="128" t="s">
        <v>148</v>
      </c>
      <c r="O76" s="127" t="e">
        <f t="shared" si="3"/>
        <v>#REF!</v>
      </c>
      <c r="P76" s="250" t="e">
        <f>IF($P$71=1, X77, IF($P$71=2, AB77, IF($P$71=3, AF77, "")))</f>
        <v>#REF!</v>
      </c>
      <c r="Q76" s="2"/>
      <c r="R76" s="2"/>
      <c r="S76" s="2"/>
      <c r="T76" s="11"/>
      <c r="U76" s="54"/>
      <c r="V76" s="126" t="s">
        <v>149</v>
      </c>
      <c r="W76" s="127" t="e">
        <f t="shared" si="4"/>
        <v>#REF!</v>
      </c>
      <c r="X76" s="141" t="e">
        <f>COUNTIFS(gender, 1, sv_prob, 2)</f>
        <v>#REF!</v>
      </c>
      <c r="Y76" s="2"/>
      <c r="Z76" s="126" t="s">
        <v>149</v>
      </c>
      <c r="AA76" s="127" t="e">
        <f t="shared" si="5"/>
        <v>#REF!</v>
      </c>
      <c r="AB76" s="141" t="e">
        <f>COUNTIFS(gender, 2, sv_prob, 2)</f>
        <v>#REF!</v>
      </c>
      <c r="AC76" s="2"/>
      <c r="AD76" s="126" t="s">
        <v>149</v>
      </c>
      <c r="AE76" s="127" t="e">
        <f t="shared" si="6"/>
        <v>#REF!</v>
      </c>
      <c r="AF76" s="141" t="e">
        <f>COUNTIF(sv_prob, 2)</f>
        <v>#REF!</v>
      </c>
      <c r="AG76" s="2"/>
    </row>
    <row r="77" spans="14:33" x14ac:dyDescent="0.15">
      <c r="N77" s="3"/>
      <c r="O77" s="181" t="s">
        <v>122</v>
      </c>
      <c r="P77" s="182" t="e">
        <f>IF($P$71=1, X78, IF($P$71=2, AB78, IF($P$71=3, AF78, "")))</f>
        <v>#REF!</v>
      </c>
      <c r="Q77" s="3"/>
      <c r="R77" s="3"/>
      <c r="S77" s="3"/>
      <c r="T77" s="11"/>
      <c r="U77" s="54"/>
      <c r="V77" s="128" t="s">
        <v>148</v>
      </c>
      <c r="W77" s="127" t="e">
        <f t="shared" si="4"/>
        <v>#REF!</v>
      </c>
      <c r="X77" s="141" t="e">
        <f>COUNTIFS(gender, 1, sv_prob, 3)</f>
        <v>#REF!</v>
      </c>
      <c r="Y77" s="2"/>
      <c r="Z77" s="128" t="s">
        <v>148</v>
      </c>
      <c r="AA77" s="127" t="e">
        <f t="shared" si="5"/>
        <v>#REF!</v>
      </c>
      <c r="AB77" s="141" t="e">
        <f>COUNTIFS(gender, 2, sv_prob, 3)</f>
        <v>#REF!</v>
      </c>
      <c r="AC77" s="2"/>
      <c r="AD77" s="128" t="s">
        <v>148</v>
      </c>
      <c r="AE77" s="127" t="e">
        <f t="shared" si="6"/>
        <v>#REF!</v>
      </c>
      <c r="AF77" s="141" t="e">
        <f>COUNTIF(sv_prob, 3)</f>
        <v>#REF!</v>
      </c>
      <c r="AG77" s="2"/>
    </row>
    <row r="78" spans="14:33" x14ac:dyDescent="0.15">
      <c r="N78" s="3"/>
      <c r="O78" s="3"/>
      <c r="P78" s="1"/>
      <c r="Q78" s="3"/>
      <c r="R78" s="3"/>
      <c r="S78" s="3"/>
      <c r="T78" s="3"/>
      <c r="U78" s="3"/>
      <c r="V78" s="3"/>
      <c r="W78" s="181" t="s">
        <v>122</v>
      </c>
      <c r="X78" s="182" t="e">
        <f>SUM(X74:X77)</f>
        <v>#REF!</v>
      </c>
      <c r="Y78" s="3"/>
      <c r="Z78" s="3"/>
      <c r="AA78" s="181" t="s">
        <v>122</v>
      </c>
      <c r="AB78" s="182" t="e">
        <f>SUM(AB74:AB77)</f>
        <v>#REF!</v>
      </c>
      <c r="AC78" s="3"/>
      <c r="AD78" s="3"/>
      <c r="AE78" s="181" t="s">
        <v>122</v>
      </c>
      <c r="AF78" s="182" t="e">
        <f>SUM(AF74:AF77)</f>
        <v>#REF!</v>
      </c>
      <c r="AG78" s="3"/>
    </row>
    <row r="79" spans="14:33" x14ac:dyDescent="0.15">
      <c r="N79" s="3"/>
      <c r="O79" s="2"/>
      <c r="P79" s="2"/>
      <c r="Q79" s="3"/>
      <c r="R79" s="3"/>
      <c r="S79" s="11"/>
      <c r="T79" s="3"/>
      <c r="U79" s="3"/>
      <c r="V79" s="3"/>
      <c r="W79" s="3"/>
      <c r="X79" s="3"/>
      <c r="Y79" s="3"/>
      <c r="Z79" s="3"/>
      <c r="AA79" s="3"/>
      <c r="AB79" s="3"/>
      <c r="AC79" s="3"/>
      <c r="AD79" s="3"/>
      <c r="AE79" s="3"/>
      <c r="AF79" s="3"/>
      <c r="AG79" s="3"/>
    </row>
  </sheetData>
  <sheetProtection password="8E6E" sheet="1" objects="1" scenarios="1" selectLockedCells="1" selectUnlockedCells="1"/>
  <mergeCells count="2">
    <mergeCell ref="A2:L2"/>
    <mergeCell ref="F5:K5"/>
  </mergeCells>
  <dataValidations count="3">
    <dataValidation type="list" allowBlank="1" showInputMessage="1" showErrorMessage="1" sqref="S70">
      <formula1>$S$2:$S$4</formula1>
    </dataValidation>
    <dataValidation type="list" allowBlank="1" showErrorMessage="1" prompt="Click the arrow to see results by class year, female, and male. Counts were too low to display in the other gender categories. " sqref="D23">
      <formula1>$S$70:$S$72</formula1>
    </dataValidation>
    <dataValidation type="list" allowBlank="1" showInputMessage="1" showErrorMessage="1" sqref="D4">
      <formula1>$N$18:$N$20</formula1>
    </dataValidation>
  </dataValidations>
  <pageMargins left="0.5" right="0.5" top="0.5" bottom="0.5" header="0.1" footer="0.1"/>
  <pageSetup scale="65"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showGridLines="0" showRowColHeaders="0" zoomScale="90" zoomScaleNormal="90" workbookViewId="0">
      <selection activeCell="A35" sqref="A35"/>
    </sheetView>
  </sheetViews>
  <sheetFormatPr defaultColWidth="9.875" defaultRowHeight="11.25" x14ac:dyDescent="0.15"/>
  <cols>
    <col min="1" max="1" width="23" style="19" customWidth="1"/>
    <col min="2" max="2" width="3.625" style="4" customWidth="1"/>
    <col min="3" max="3" width="43" style="2" customWidth="1"/>
    <col min="4" max="4" width="9.875" style="2" customWidth="1"/>
    <col min="5" max="5" width="25.375" style="2" bestFit="1" customWidth="1"/>
    <col min="6" max="8" width="9.875" style="2" customWidth="1"/>
    <col min="9" max="9" width="36.75" style="2" customWidth="1"/>
    <col min="10" max="10" width="9.875" style="2"/>
    <col min="11" max="11" width="0" style="2" hidden="1" customWidth="1"/>
    <col min="12" max="19" width="9.875" style="2" hidden="1" customWidth="1"/>
    <col min="20" max="16384" width="9.875" style="2"/>
  </cols>
  <sheetData>
    <row r="1" spans="1:13" ht="64.5" customHeight="1" thickBot="1" x14ac:dyDescent="0.2">
      <c r="A1" s="5"/>
      <c r="B1" s="5"/>
      <c r="C1" s="5"/>
      <c r="D1" s="5"/>
      <c r="E1" s="5"/>
      <c r="F1" s="5"/>
      <c r="G1" s="5"/>
      <c r="H1" s="8"/>
      <c r="I1" s="9" t="s">
        <v>1</v>
      </c>
    </row>
    <row r="2" spans="1:13" ht="18" customHeight="1" x14ac:dyDescent="0.15">
      <c r="A2" s="428" t="s">
        <v>278</v>
      </c>
      <c r="B2" s="428"/>
      <c r="C2" s="428"/>
      <c r="D2" s="428"/>
      <c r="E2" s="428"/>
      <c r="F2" s="428"/>
      <c r="G2" s="428"/>
      <c r="H2" s="428"/>
      <c r="I2" s="428"/>
    </row>
    <row r="3" spans="1:13" ht="15" customHeight="1" x14ac:dyDescent="0.15"/>
    <row r="4" spans="1:13" ht="15.75" customHeight="1" x14ac:dyDescent="0.15">
      <c r="A4" s="25"/>
    </row>
    <row r="5" spans="1:13" ht="15.75" customHeight="1" x14ac:dyDescent="0.15">
      <c r="D5" s="6"/>
      <c r="E5" s="6"/>
      <c r="G5" s="6"/>
      <c r="H5" s="6"/>
      <c r="I5" s="6"/>
      <c r="L5" s="10"/>
      <c r="M5" s="10"/>
    </row>
    <row r="6" spans="1:13" ht="15.75" customHeight="1" x14ac:dyDescent="0.15">
      <c r="A6" s="24"/>
      <c r="B6" s="18"/>
      <c r="D6" s="6"/>
      <c r="E6" s="6"/>
      <c r="F6" s="6"/>
      <c r="G6" s="6"/>
      <c r="H6" s="6"/>
      <c r="I6" s="6"/>
      <c r="L6" s="10"/>
      <c r="M6" s="41"/>
    </row>
    <row r="7" spans="1:13" ht="15.75" customHeight="1" x14ac:dyDescent="0.15">
      <c r="A7" s="25"/>
      <c r="D7" s="17"/>
      <c r="E7" s="7"/>
      <c r="F7" s="7"/>
      <c r="G7" s="7"/>
      <c r="H7" s="7"/>
      <c r="I7" s="7"/>
      <c r="L7" s="10"/>
      <c r="M7" s="15"/>
    </row>
    <row r="8" spans="1:13" ht="15.75" customHeight="1" x14ac:dyDescent="0.15">
      <c r="A8" s="29"/>
      <c r="D8" s="16"/>
      <c r="L8" s="10"/>
      <c r="M8" s="10"/>
    </row>
    <row r="9" spans="1:13" s="3" customFormat="1" ht="15.75" customHeight="1" x14ac:dyDescent="0.15">
      <c r="A9" s="27"/>
      <c r="B9" s="1"/>
      <c r="D9" s="11"/>
      <c r="J9" s="2"/>
      <c r="L9" s="10"/>
      <c r="M9" s="10"/>
    </row>
    <row r="10" spans="1:13" s="3" customFormat="1" ht="15.75" customHeight="1" x14ac:dyDescent="0.2">
      <c r="A10" s="40"/>
      <c r="B10" s="1"/>
      <c r="D10" s="11"/>
      <c r="J10" s="2"/>
      <c r="L10" s="10"/>
      <c r="M10" s="41"/>
    </row>
    <row r="11" spans="1:13" s="3" customFormat="1" ht="15.75" customHeight="1" x14ac:dyDescent="0.2">
      <c r="A11" s="40"/>
      <c r="B11" s="1"/>
      <c r="J11" s="2"/>
      <c r="L11" s="10"/>
      <c r="M11" s="41"/>
    </row>
    <row r="12" spans="1:13" s="3" customFormat="1" ht="15.75" customHeight="1" x14ac:dyDescent="0.2">
      <c r="A12" s="40"/>
      <c r="B12" s="1"/>
      <c r="J12" s="2"/>
      <c r="L12" s="10"/>
      <c r="M12" s="41"/>
    </row>
    <row r="13" spans="1:13" s="3" customFormat="1" ht="15.75" customHeight="1" x14ac:dyDescent="0.15">
      <c r="A13" s="20"/>
      <c r="B13" s="1"/>
      <c r="J13" s="2"/>
      <c r="L13" s="10"/>
      <c r="M13" s="41"/>
    </row>
    <row r="14" spans="1:13" s="3" customFormat="1" ht="15.75" customHeight="1" x14ac:dyDescent="0.15">
      <c r="A14" s="20"/>
      <c r="B14" s="1"/>
      <c r="J14" s="2"/>
      <c r="L14" s="21"/>
      <c r="M14" s="21"/>
    </row>
    <row r="15" spans="1:13" ht="17.25" customHeight="1" x14ac:dyDescent="0.15">
      <c r="L15" s="21"/>
      <c r="M15" s="21"/>
    </row>
    <row r="16" spans="1:13" ht="15" customHeight="1" x14ac:dyDescent="0.2">
      <c r="C16" s="44"/>
      <c r="L16" s="21"/>
      <c r="M16" s="42"/>
    </row>
    <row r="17" spans="6:13" ht="13.5" customHeight="1" x14ac:dyDescent="0.15">
      <c r="L17" s="21"/>
      <c r="M17" s="42"/>
    </row>
    <row r="18" spans="6:13" ht="15.75" customHeight="1" x14ac:dyDescent="0.15">
      <c r="L18" s="21"/>
      <c r="M18" s="21"/>
    </row>
    <row r="19" spans="6:13" x14ac:dyDescent="0.15">
      <c r="L19" s="21"/>
      <c r="M19" s="21"/>
    </row>
    <row r="20" spans="6:13" x14ac:dyDescent="0.15">
      <c r="L20" s="21"/>
      <c r="M20" s="42"/>
    </row>
    <row r="21" spans="6:13" x14ac:dyDescent="0.15">
      <c r="L21" s="21"/>
      <c r="M21" s="42"/>
    </row>
    <row r="22" spans="6:13" x14ac:dyDescent="0.15">
      <c r="L22" s="21"/>
      <c r="M22" s="21"/>
    </row>
    <row r="23" spans="6:13" x14ac:dyDescent="0.15">
      <c r="L23" s="21"/>
      <c r="M23" s="21"/>
    </row>
    <row r="24" spans="6:13" x14ac:dyDescent="0.15">
      <c r="L24" s="21"/>
      <c r="M24" s="42"/>
    </row>
    <row r="25" spans="6:13" x14ac:dyDescent="0.15">
      <c r="L25" s="21"/>
      <c r="M25" s="42"/>
    </row>
    <row r="26" spans="6:13" x14ac:dyDescent="0.15">
      <c r="L26" s="21"/>
      <c r="M26" s="42"/>
    </row>
    <row r="27" spans="6:13" x14ac:dyDescent="0.15">
      <c r="L27" s="21"/>
      <c r="M27" s="42"/>
    </row>
    <row r="28" spans="6:13" x14ac:dyDescent="0.15">
      <c r="L28" s="21"/>
      <c r="M28" s="42"/>
    </row>
    <row r="32" spans="6:13" ht="12" x14ac:dyDescent="0.2">
      <c r="F32" s="44"/>
      <c r="M32" s="2" t="s">
        <v>201</v>
      </c>
    </row>
    <row r="35" spans="3:13" ht="12" x14ac:dyDescent="0.2">
      <c r="C35" s="44"/>
      <c r="L35" s="43"/>
      <c r="M35" s="16"/>
    </row>
    <row r="36" spans="3:13" x14ac:dyDescent="0.15">
      <c r="L36" s="43"/>
      <c r="M36" s="16"/>
    </row>
    <row r="37" spans="3:13" x14ac:dyDescent="0.15">
      <c r="L37" s="43"/>
      <c r="M37" s="16"/>
    </row>
    <row r="38" spans="3:13" x14ac:dyDescent="0.15">
      <c r="L38" s="43"/>
      <c r="M38" s="16"/>
    </row>
    <row r="39" spans="3:13" x14ac:dyDescent="0.15">
      <c r="L39" s="43"/>
      <c r="M39" s="16"/>
    </row>
    <row r="40" spans="3:13" x14ac:dyDescent="0.15">
      <c r="L40" s="43"/>
      <c r="M40" s="16"/>
    </row>
    <row r="41" spans="3:13" x14ac:dyDescent="0.15">
      <c r="L41" s="43"/>
      <c r="M41" s="16"/>
    </row>
    <row r="54" spans="3:4" x14ac:dyDescent="0.15">
      <c r="C54" s="4"/>
      <c r="D54" s="1"/>
    </row>
    <row r="55" spans="3:4" x14ac:dyDescent="0.15">
      <c r="C55" s="1"/>
      <c r="D55" s="1"/>
    </row>
    <row r="56" spans="3:4" x14ac:dyDescent="0.15">
      <c r="C56" s="1"/>
      <c r="D56" s="1"/>
    </row>
    <row r="57" spans="3:4" x14ac:dyDescent="0.15">
      <c r="C57" s="4"/>
      <c r="D57" s="4"/>
    </row>
    <row r="58" spans="3:4" x14ac:dyDescent="0.15">
      <c r="C58" s="4"/>
      <c r="D58" s="4"/>
    </row>
  </sheetData>
  <sheetProtection password="8E6E" sheet="1" objects="1" scenarios="1" selectLockedCells="1" selectUnlockedCells="1"/>
  <mergeCells count="1">
    <mergeCell ref="A2:I2"/>
  </mergeCells>
  <pageMargins left="0.5" right="0.5" top="0.5" bottom="0.5" header="0.1" footer="0.1"/>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21"/>
  <sheetViews>
    <sheetView showGridLines="0" showRowColHeaders="0" zoomScale="90" zoomScaleNormal="90" workbookViewId="0">
      <selection activeCell="E8" sqref="E8"/>
    </sheetView>
  </sheetViews>
  <sheetFormatPr defaultColWidth="9.875" defaultRowHeight="15" customHeight="1" x14ac:dyDescent="0.15"/>
  <cols>
    <col min="1" max="1" width="23" style="19" customWidth="1"/>
    <col min="2" max="2" width="3.625" style="4" customWidth="1"/>
    <col min="3" max="3" width="9.875" style="2" customWidth="1"/>
    <col min="4" max="4" width="49.375" style="2" customWidth="1"/>
    <col min="5" max="9" width="9.875" style="2"/>
    <col min="10" max="10" width="9.875" style="2" customWidth="1"/>
    <col min="11" max="12" width="9.875" style="2"/>
    <col min="13" max="13" width="13.125" style="2" customWidth="1"/>
    <col min="14" max="16" width="9.875" style="2"/>
    <col min="17" max="17" width="65.625" style="2" customWidth="1"/>
    <col min="18" max="16384" width="9.875" style="2"/>
  </cols>
  <sheetData>
    <row r="1" spans="1:20" ht="64.5" customHeight="1" thickBot="1" x14ac:dyDescent="0.2">
      <c r="A1" s="5"/>
      <c r="B1" s="5"/>
      <c r="C1" s="5"/>
      <c r="D1" s="5"/>
      <c r="E1" s="5"/>
      <c r="F1" s="5"/>
      <c r="G1" s="5"/>
      <c r="H1" s="5"/>
      <c r="I1" s="5"/>
      <c r="J1" s="8"/>
      <c r="M1" s="9" t="s">
        <v>1</v>
      </c>
    </row>
    <row r="2" spans="1:20" ht="18" customHeight="1" x14ac:dyDescent="0.15">
      <c r="A2" s="428" t="s">
        <v>139</v>
      </c>
      <c r="B2" s="428"/>
      <c r="C2" s="428"/>
      <c r="D2" s="428"/>
      <c r="E2" s="428"/>
      <c r="F2" s="428"/>
      <c r="G2" s="428"/>
      <c r="H2" s="428"/>
      <c r="I2" s="428"/>
      <c r="J2" s="428"/>
      <c r="K2" s="428"/>
      <c r="L2" s="428"/>
      <c r="M2" s="428"/>
      <c r="Q2"/>
      <c r="R2"/>
      <c r="S2"/>
      <c r="T2"/>
    </row>
    <row r="3" spans="1:20" ht="15" customHeight="1" x14ac:dyDescent="0.15">
      <c r="B3" s="39"/>
      <c r="Q3"/>
      <c r="R3"/>
      <c r="S3"/>
      <c r="T3"/>
    </row>
    <row r="4" spans="1:20" ht="15" customHeight="1" x14ac:dyDescent="0.2">
      <c r="A4" s="25"/>
      <c r="B4"/>
      <c r="D4" s="366" t="s">
        <v>320</v>
      </c>
      <c r="Q4"/>
      <c r="R4"/>
      <c r="S4"/>
      <c r="T4"/>
    </row>
    <row r="5" spans="1:20" ht="15" customHeight="1" x14ac:dyDescent="0.15">
      <c r="B5" s="39"/>
      <c r="D5" s="14" t="s">
        <v>304</v>
      </c>
      <c r="E5" s="6"/>
      <c r="F5" s="6"/>
      <c r="G5" s="6"/>
      <c r="H5" s="6"/>
      <c r="I5" s="6"/>
      <c r="J5" s="6"/>
      <c r="Q5"/>
      <c r="R5"/>
      <c r="S5"/>
      <c r="T5"/>
    </row>
    <row r="6" spans="1:20" ht="15" customHeight="1" x14ac:dyDescent="0.15">
      <c r="A6" s="24"/>
      <c r="B6" s="18"/>
      <c r="E6" s="6"/>
      <c r="F6" s="6"/>
      <c r="G6" s="6"/>
      <c r="H6" s="6"/>
      <c r="I6" s="6"/>
      <c r="J6" s="6"/>
      <c r="Q6"/>
      <c r="R6"/>
      <c r="S6"/>
      <c r="T6"/>
    </row>
    <row r="7" spans="1:20" ht="30" customHeight="1" x14ac:dyDescent="0.15">
      <c r="A7" s="25"/>
      <c r="D7" s="401" t="s">
        <v>301</v>
      </c>
      <c r="E7" s="402"/>
      <c r="F7" s="7"/>
      <c r="G7" s="7"/>
      <c r="H7" s="7"/>
      <c r="I7" s="7"/>
      <c r="J7" s="7"/>
      <c r="Q7"/>
      <c r="R7"/>
      <c r="S7"/>
      <c r="T7"/>
    </row>
    <row r="8" spans="1:20" ht="24.75" customHeight="1" x14ac:dyDescent="0.15">
      <c r="A8" s="25"/>
      <c r="D8" s="362" t="s">
        <v>298</v>
      </c>
      <c r="E8" s="376">
        <v>17463</v>
      </c>
      <c r="Q8"/>
      <c r="R8"/>
      <c r="S8"/>
      <c r="T8"/>
    </row>
    <row r="9" spans="1:20" s="3" customFormat="1" ht="24.75" customHeight="1" x14ac:dyDescent="0.15">
      <c r="A9" s="27"/>
      <c r="B9" s="1"/>
      <c r="D9" s="364" t="s">
        <v>299</v>
      </c>
      <c r="E9" s="377">
        <v>1842</v>
      </c>
      <c r="Q9"/>
      <c r="R9"/>
      <c r="S9"/>
      <c r="T9"/>
    </row>
    <row r="10" spans="1:20" s="3" customFormat="1" ht="24.75" customHeight="1" x14ac:dyDescent="0.15">
      <c r="A10" s="20"/>
      <c r="B10" s="1"/>
      <c r="D10" s="363" t="s">
        <v>305</v>
      </c>
      <c r="E10" s="378">
        <v>1427</v>
      </c>
      <c r="Q10"/>
      <c r="R10"/>
      <c r="S10"/>
      <c r="T10"/>
    </row>
    <row r="11" spans="1:20" s="3" customFormat="1" ht="24.75" customHeight="1" x14ac:dyDescent="0.15">
      <c r="A11" s="20"/>
      <c r="B11" s="1"/>
      <c r="D11" s="365" t="s">
        <v>306</v>
      </c>
      <c r="E11" s="377">
        <v>408</v>
      </c>
      <c r="Q11"/>
      <c r="R11"/>
      <c r="S11"/>
      <c r="T11"/>
    </row>
    <row r="12" spans="1:20" s="3" customFormat="1" ht="24.75" customHeight="1" x14ac:dyDescent="0.15">
      <c r="A12" s="20"/>
      <c r="B12" s="1"/>
      <c r="D12" s="363" t="s">
        <v>307</v>
      </c>
      <c r="E12" s="378">
        <v>7</v>
      </c>
      <c r="Q12"/>
      <c r="R12"/>
      <c r="S12"/>
      <c r="T12"/>
    </row>
    <row r="13" spans="1:20" s="3" customFormat="1" ht="24.75" customHeight="1" x14ac:dyDescent="0.15">
      <c r="A13" s="20"/>
      <c r="B13" s="1"/>
      <c r="D13" s="364" t="s">
        <v>300</v>
      </c>
      <c r="E13" s="424">
        <v>0.105</v>
      </c>
      <c r="Q13"/>
      <c r="R13"/>
      <c r="S13"/>
      <c r="T13"/>
    </row>
    <row r="14" spans="1:20" s="3" customFormat="1" ht="15" customHeight="1" x14ac:dyDescent="0.15">
      <c r="A14" s="20"/>
      <c r="B14" s="1"/>
      <c r="Q14"/>
      <c r="R14"/>
      <c r="S14"/>
      <c r="T14"/>
    </row>
    <row r="15" spans="1:20" ht="30" customHeight="1" x14ac:dyDescent="0.15">
      <c r="D15" s="401" t="s">
        <v>302</v>
      </c>
      <c r="E15" s="402"/>
      <c r="Q15"/>
      <c r="R15"/>
      <c r="S15"/>
      <c r="T15"/>
    </row>
    <row r="16" spans="1:20" ht="24.75" customHeight="1" x14ac:dyDescent="0.15">
      <c r="D16" s="363" t="s">
        <v>312</v>
      </c>
      <c r="E16" s="376">
        <v>1</v>
      </c>
      <c r="Q16"/>
      <c r="R16"/>
      <c r="S16"/>
      <c r="T16"/>
    </row>
    <row r="17" spans="4:20" ht="24.75" customHeight="1" x14ac:dyDescent="0.15">
      <c r="D17" s="365" t="s">
        <v>308</v>
      </c>
      <c r="E17" s="427">
        <v>1834</v>
      </c>
      <c r="Q17"/>
      <c r="R17"/>
      <c r="S17"/>
      <c r="T17"/>
    </row>
    <row r="18" spans="4:20" ht="15" customHeight="1" x14ac:dyDescent="0.15">
      <c r="Q18"/>
      <c r="R18"/>
      <c r="S18"/>
      <c r="T18"/>
    </row>
    <row r="19" spans="4:20" ht="29.25" customHeight="1" x14ac:dyDescent="0.15">
      <c r="D19" s="401" t="s">
        <v>303</v>
      </c>
      <c r="E19" s="402"/>
      <c r="Q19"/>
      <c r="R19"/>
      <c r="S19"/>
      <c r="T19"/>
    </row>
    <row r="20" spans="4:20" ht="24.75" customHeight="1" x14ac:dyDescent="0.15">
      <c r="D20" s="363" t="s">
        <v>309</v>
      </c>
      <c r="E20" s="374">
        <v>42457</v>
      </c>
      <c r="Q20"/>
      <c r="R20"/>
      <c r="S20"/>
      <c r="T20"/>
    </row>
    <row r="21" spans="4:20" ht="24.75" customHeight="1" x14ac:dyDescent="0.15">
      <c r="D21" s="365" t="s">
        <v>310</v>
      </c>
      <c r="E21" s="375">
        <v>42478</v>
      </c>
      <c r="Q21"/>
      <c r="R21"/>
    </row>
  </sheetData>
  <sheetProtection password="8E6E" sheet="1" objects="1" scenarios="1" selectLockedCells="1" selectUnlockedCells="1"/>
  <mergeCells count="2">
    <mergeCell ref="A2:J2"/>
    <mergeCell ref="K2:M2"/>
  </mergeCells>
  <pageMargins left="0.5" right="0.5" top="0.5" bottom="0.5" header="0.1" footer="0.1"/>
  <pageSetup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61"/>
  <sheetViews>
    <sheetView showGridLines="0" showRowColHeaders="0" zoomScale="90" zoomScaleNormal="90" workbookViewId="0">
      <selection activeCell="A35" sqref="A35"/>
    </sheetView>
  </sheetViews>
  <sheetFormatPr defaultColWidth="9.875" defaultRowHeight="11.25" x14ac:dyDescent="0.15"/>
  <cols>
    <col min="1" max="1" width="23" style="19" customWidth="1"/>
    <col min="2" max="2" width="3.625" style="4" customWidth="1"/>
    <col min="3" max="3" width="24.5" style="2" customWidth="1"/>
    <col min="4" max="4" width="10.75" style="2" customWidth="1"/>
    <col min="5" max="13" width="9.875" style="2"/>
    <col min="14" max="14" width="31.75" style="2" customWidth="1"/>
    <col min="15" max="16" width="9.875" style="2" customWidth="1"/>
    <col min="17" max="18" width="9.875" style="2" hidden="1" customWidth="1"/>
    <col min="19" max="19" width="30" style="2" hidden="1" customWidth="1"/>
    <col min="20" max="20" width="9.875" style="2" hidden="1" customWidth="1"/>
    <col min="21" max="21" width="12.375" style="2" hidden="1" customWidth="1"/>
    <col min="22" max="23" width="9.875" style="2" hidden="1" customWidth="1"/>
    <col min="24" max="26" width="0" style="2" hidden="1" customWidth="1"/>
    <col min="27" max="16384" width="9.875" style="2"/>
  </cols>
  <sheetData>
    <row r="1" spans="1:23" ht="64.5" customHeight="1" thickBot="1" x14ac:dyDescent="0.2">
      <c r="A1" s="5"/>
      <c r="B1" s="5"/>
      <c r="C1" s="5"/>
      <c r="D1" s="5"/>
      <c r="E1" s="5"/>
      <c r="F1" s="5"/>
      <c r="G1" s="5"/>
      <c r="H1" s="5"/>
      <c r="I1" s="5"/>
      <c r="J1" s="5"/>
      <c r="K1" s="5"/>
      <c r="L1" s="5"/>
      <c r="M1" s="8"/>
      <c r="N1" s="9" t="s">
        <v>1</v>
      </c>
    </row>
    <row r="2" spans="1:23" ht="18" customHeight="1" x14ac:dyDescent="0.15">
      <c r="A2" s="428" t="s">
        <v>141</v>
      </c>
      <c r="B2" s="428"/>
      <c r="C2" s="428"/>
      <c r="D2" s="428"/>
      <c r="E2" s="428"/>
      <c r="F2" s="428"/>
      <c r="G2" s="428"/>
      <c r="H2" s="428"/>
      <c r="I2" s="428"/>
      <c r="J2" s="428"/>
      <c r="K2" s="428"/>
      <c r="L2" s="428"/>
      <c r="M2" s="428"/>
      <c r="N2" s="428"/>
      <c r="S2" s="273" t="s">
        <v>115</v>
      </c>
      <c r="T2" s="274" t="s">
        <v>6</v>
      </c>
      <c r="U2" s="275" t="s">
        <v>117</v>
      </c>
    </row>
    <row r="3" spans="1:23" ht="15" customHeight="1" x14ac:dyDescent="0.15">
      <c r="Q3" s="4"/>
      <c r="R3" s="4"/>
      <c r="S3" s="271" t="s">
        <v>7</v>
      </c>
      <c r="T3" s="129">
        <v>0.16807670614777215</v>
      </c>
      <c r="U3" s="272">
        <v>298</v>
      </c>
    </row>
    <row r="4" spans="1:23" ht="15.75" customHeight="1" x14ac:dyDescent="0.15">
      <c r="A4" s="25"/>
      <c r="Q4" s="4"/>
      <c r="R4" s="4"/>
      <c r="S4" s="271" t="s">
        <v>8</v>
      </c>
      <c r="T4" s="129">
        <v>0.14664410603496897</v>
      </c>
      <c r="U4" s="272">
        <v>260</v>
      </c>
    </row>
    <row r="5" spans="1:23" ht="15.75" customHeight="1" x14ac:dyDescent="0.15">
      <c r="E5" s="6"/>
      <c r="F5" s="6"/>
      <c r="G5" s="6"/>
      <c r="H5" s="6"/>
      <c r="I5" s="6"/>
      <c r="J5" s="6"/>
      <c r="K5" s="6"/>
      <c r="L5" s="6"/>
      <c r="M5" s="6"/>
      <c r="N5" s="6"/>
      <c r="Q5" s="4"/>
      <c r="R5" s="4"/>
      <c r="S5" s="271" t="s">
        <v>9</v>
      </c>
      <c r="T5" s="129">
        <v>0.23857868020304568</v>
      </c>
      <c r="U5" s="272">
        <v>423</v>
      </c>
    </row>
    <row r="6" spans="1:23" ht="15.75" customHeight="1" x14ac:dyDescent="0.15">
      <c r="A6" s="24"/>
      <c r="B6" s="18"/>
      <c r="E6" s="6"/>
      <c r="F6" s="6"/>
      <c r="G6" s="6"/>
      <c r="H6" s="6"/>
      <c r="I6" s="6"/>
      <c r="J6" s="6"/>
      <c r="K6" s="6"/>
      <c r="L6" s="6"/>
      <c r="M6" s="6"/>
      <c r="N6" s="6"/>
      <c r="Q6" s="4"/>
      <c r="R6" s="4"/>
      <c r="S6" s="271" t="s">
        <v>10</v>
      </c>
      <c r="T6" s="129">
        <v>0.21150592216582065</v>
      </c>
      <c r="U6" s="272">
        <v>375</v>
      </c>
    </row>
    <row r="7" spans="1:23" ht="15.75" customHeight="1" x14ac:dyDescent="0.15">
      <c r="A7" s="25"/>
      <c r="E7" s="17"/>
      <c r="F7" s="7"/>
      <c r="G7" s="7"/>
      <c r="H7" s="7"/>
      <c r="I7" s="7"/>
      <c r="J7" s="7"/>
      <c r="K7" s="7"/>
      <c r="L7" s="7"/>
      <c r="M7" s="7"/>
      <c r="N7" s="7"/>
      <c r="Q7" s="4"/>
      <c r="R7" s="4"/>
      <c r="S7" s="271" t="s">
        <v>11</v>
      </c>
      <c r="T7" s="129">
        <v>0.16356457980823463</v>
      </c>
      <c r="U7" s="272">
        <v>290</v>
      </c>
    </row>
    <row r="8" spans="1:23" ht="15.75" customHeight="1" x14ac:dyDescent="0.15">
      <c r="A8" s="25"/>
      <c r="E8" s="16"/>
      <c r="Q8" s="4"/>
      <c r="R8" s="4"/>
      <c r="S8" s="276" t="s">
        <v>12</v>
      </c>
      <c r="T8" s="277">
        <v>7.1630005640157923E-2</v>
      </c>
      <c r="U8" s="278">
        <v>127</v>
      </c>
    </row>
    <row r="9" spans="1:23" s="3" customFormat="1" ht="15.75" customHeight="1" x14ac:dyDescent="0.15">
      <c r="A9" s="27"/>
      <c r="B9" s="1"/>
      <c r="E9" s="11"/>
      <c r="P9" s="2"/>
      <c r="Q9" s="4"/>
      <c r="R9" s="4"/>
      <c r="S9" s="150"/>
      <c r="T9" s="159" t="s">
        <v>122</v>
      </c>
      <c r="U9" s="160">
        <v>1773</v>
      </c>
    </row>
    <row r="10" spans="1:23" s="3" customFormat="1" ht="15.75" customHeight="1" x14ac:dyDescent="0.15">
      <c r="A10" s="20"/>
      <c r="B10" s="1"/>
      <c r="E10" s="11"/>
      <c r="P10" s="2"/>
      <c r="Q10" s="4"/>
      <c r="R10" s="4"/>
    </row>
    <row r="11" spans="1:23" s="3" customFormat="1" ht="15.75" customHeight="1" x14ac:dyDescent="0.15">
      <c r="A11" s="20"/>
      <c r="B11" s="1"/>
      <c r="P11" s="2"/>
      <c r="Q11" s="4"/>
      <c r="R11"/>
      <c r="S11" s="273" t="s">
        <v>19</v>
      </c>
      <c r="T11" s="274" t="s">
        <v>6</v>
      </c>
      <c r="U11" s="275" t="s">
        <v>117</v>
      </c>
      <c r="V11" s="399" t="s">
        <v>321</v>
      </c>
    </row>
    <row r="12" spans="1:23" s="3" customFormat="1" ht="15.75" customHeight="1" x14ac:dyDescent="0.15">
      <c r="A12" s="20"/>
      <c r="B12" s="1"/>
      <c r="P12" s="2"/>
      <c r="Q12" s="4"/>
      <c r="R12"/>
      <c r="S12" s="271" t="s">
        <v>203</v>
      </c>
      <c r="T12" s="143">
        <v>0.52142051860202931</v>
      </c>
      <c r="U12" s="272">
        <v>925</v>
      </c>
      <c r="V12" s="395">
        <v>1</v>
      </c>
    </row>
    <row r="13" spans="1:23" s="3" customFormat="1" ht="15.75" customHeight="1" x14ac:dyDescent="0.15">
      <c r="A13" s="20"/>
      <c r="B13" s="1"/>
      <c r="P13" s="2"/>
      <c r="Q13" s="4"/>
      <c r="R13"/>
      <c r="S13" s="271" t="s">
        <v>204</v>
      </c>
      <c r="T13" s="143">
        <v>0.45264937993235627</v>
      </c>
      <c r="U13" s="272">
        <v>803</v>
      </c>
      <c r="V13" s="272">
        <v>2</v>
      </c>
    </row>
    <row r="14" spans="1:23" s="3" customFormat="1" ht="15.75" customHeight="1" x14ac:dyDescent="0.15">
      <c r="A14" s="20"/>
      <c r="B14" s="1"/>
      <c r="P14" s="2"/>
      <c r="Q14" s="4"/>
      <c r="R14"/>
      <c r="S14" s="271" t="s">
        <v>16</v>
      </c>
      <c r="T14" s="143">
        <v>1.8602029312288614E-2</v>
      </c>
      <c r="U14" s="272">
        <v>33</v>
      </c>
      <c r="V14" s="272">
        <v>3</v>
      </c>
    </row>
    <row r="15" spans="1:23" ht="29.25" customHeight="1" x14ac:dyDescent="0.15">
      <c r="C15" s="193" t="s">
        <v>182</v>
      </c>
      <c r="D15" s="194" t="s">
        <v>127</v>
      </c>
      <c r="Q15" s="4"/>
      <c r="R15"/>
      <c r="S15" s="271" t="s">
        <v>0</v>
      </c>
      <c r="T15" s="143">
        <v>7.328072153325817E-3</v>
      </c>
      <c r="U15" s="272">
        <v>13</v>
      </c>
      <c r="V15" s="272">
        <v>4</v>
      </c>
      <c r="W15" s="3"/>
    </row>
    <row r="16" spans="1:23" ht="15.75" customHeight="1" x14ac:dyDescent="0.15">
      <c r="C16" s="199" t="s">
        <v>13</v>
      </c>
      <c r="D16" s="200">
        <f>$T$60</f>
        <v>0.80068925904652499</v>
      </c>
      <c r="Q16" s="4"/>
      <c r="R16"/>
      <c r="S16" s="271" t="s">
        <v>202</v>
      </c>
      <c r="T16" s="143">
        <v>0</v>
      </c>
      <c r="U16" s="272">
        <v>0</v>
      </c>
      <c r="V16" s="272">
        <v>5</v>
      </c>
    </row>
    <row r="17" spans="3:27" ht="15.75" customHeight="1" x14ac:dyDescent="0.15">
      <c r="C17" s="201" t="s">
        <v>15</v>
      </c>
      <c r="D17" s="202">
        <f>$T$37</f>
        <v>0.77578215527230587</v>
      </c>
      <c r="E17" s="46" t="s">
        <v>122</v>
      </c>
      <c r="F17" s="47">
        <f>U9</f>
        <v>1773</v>
      </c>
      <c r="K17" s="46" t="s">
        <v>122</v>
      </c>
      <c r="L17" s="47">
        <f>U20</f>
        <v>1774</v>
      </c>
      <c r="Q17" s="4"/>
      <c r="R17"/>
      <c r="S17" s="276" t="s">
        <v>283</v>
      </c>
      <c r="T17" s="279">
        <v>0</v>
      </c>
      <c r="U17" s="278">
        <v>0</v>
      </c>
      <c r="V17" s="278">
        <v>6</v>
      </c>
    </row>
    <row r="18" spans="3:27" ht="15.75" customHeight="1" x14ac:dyDescent="0.15">
      <c r="C18" s="229" t="s">
        <v>25</v>
      </c>
      <c r="D18" s="407">
        <v>0.21826536473291211</v>
      </c>
      <c r="Q18" s="4"/>
      <c r="R18" s="4"/>
    </row>
    <row r="19" spans="3:27" ht="15.75" customHeight="1" x14ac:dyDescent="0.15">
      <c r="C19" s="408" t="s">
        <v>14</v>
      </c>
      <c r="D19" s="198">
        <f>$T$54</f>
        <v>0.66168009205983891</v>
      </c>
      <c r="Q19" s="4"/>
      <c r="R19" s="4"/>
    </row>
    <row r="20" spans="3:27" ht="16.5" customHeight="1" x14ac:dyDescent="0.15">
      <c r="C20" s="51" t="s">
        <v>121</v>
      </c>
      <c r="D20" s="49">
        <f>(U61+U55+U45)/3</f>
        <v>1735</v>
      </c>
      <c r="Q20" s="4"/>
      <c r="R20" s="4"/>
      <c r="T20" s="52" t="s">
        <v>122</v>
      </c>
      <c r="U20" s="161">
        <v>1774</v>
      </c>
    </row>
    <row r="21" spans="3:27" ht="17.25" customHeight="1" x14ac:dyDescent="0.15">
      <c r="Q21" s="4"/>
      <c r="R21" s="4"/>
      <c r="S21" s="273" t="s">
        <v>20</v>
      </c>
      <c r="T21" s="274" t="s">
        <v>6</v>
      </c>
      <c r="U21" s="275" t="s">
        <v>117</v>
      </c>
      <c r="V21" s="399" t="s">
        <v>321</v>
      </c>
    </row>
    <row r="22" spans="3:27" ht="17.25" customHeight="1" x14ac:dyDescent="0.15">
      <c r="Q22" s="4"/>
      <c r="S22" s="394" t="s">
        <v>212</v>
      </c>
      <c r="T22" s="405">
        <v>0.75072129255626086</v>
      </c>
      <c r="U22" s="406">
        <v>1301</v>
      </c>
      <c r="V22" s="394">
        <v>9</v>
      </c>
    </row>
    <row r="23" spans="3:27" ht="17.25" customHeight="1" x14ac:dyDescent="0.15">
      <c r="Q23" s="4"/>
      <c r="S23" s="393" t="s">
        <v>0</v>
      </c>
      <c r="T23" s="403">
        <v>0.13444893248701673</v>
      </c>
      <c r="U23" s="404">
        <v>233</v>
      </c>
      <c r="V23" s="393">
        <v>8</v>
      </c>
    </row>
    <row r="24" spans="3:27" ht="17.25" customHeight="1" x14ac:dyDescent="0.15">
      <c r="Q24" s="4"/>
      <c r="S24" s="280" t="s">
        <v>207</v>
      </c>
      <c r="T24" s="129">
        <v>9.8095787651471429E-3</v>
      </c>
      <c r="U24" s="272">
        <v>17</v>
      </c>
      <c r="V24" s="395">
        <v>7</v>
      </c>
    </row>
    <row r="25" spans="3:27" x14ac:dyDescent="0.15">
      <c r="Q25" s="4"/>
      <c r="S25" s="271" t="s">
        <v>210</v>
      </c>
      <c r="T25" s="129">
        <v>1.4425851125216388E-2</v>
      </c>
      <c r="U25" s="272">
        <v>25</v>
      </c>
      <c r="V25" s="272">
        <v>6</v>
      </c>
    </row>
    <row r="26" spans="3:27" x14ac:dyDescent="0.15">
      <c r="Q26" s="4"/>
      <c r="S26" s="271" t="s">
        <v>208</v>
      </c>
      <c r="T26" s="129">
        <v>1.5579919215233698E-2</v>
      </c>
      <c r="U26" s="272">
        <v>27</v>
      </c>
      <c r="V26" s="272">
        <v>5</v>
      </c>
    </row>
    <row r="27" spans="3:27" x14ac:dyDescent="0.15">
      <c r="Q27" s="4"/>
      <c r="S27" s="280" t="s">
        <v>205</v>
      </c>
      <c r="T27" s="129">
        <v>1.7888055395268321E-2</v>
      </c>
      <c r="U27" s="272">
        <v>31</v>
      </c>
      <c r="V27" s="272">
        <v>4</v>
      </c>
    </row>
    <row r="28" spans="3:27" x14ac:dyDescent="0.15">
      <c r="P28" s="4"/>
      <c r="Q28" s="4"/>
      <c r="S28" s="280" t="s">
        <v>206</v>
      </c>
      <c r="T28" s="129">
        <v>2.2504327755337564E-2</v>
      </c>
      <c r="U28" s="272">
        <v>39</v>
      </c>
      <c r="V28" s="272">
        <v>3</v>
      </c>
      <c r="X28"/>
      <c r="Y28"/>
      <c r="Z28"/>
      <c r="AA28"/>
    </row>
    <row r="29" spans="3:27" x14ac:dyDescent="0.15">
      <c r="P29" s="4"/>
      <c r="Q29" s="4"/>
      <c r="S29" s="271" t="s">
        <v>209</v>
      </c>
      <c r="T29" s="129">
        <v>2.9428736295441432E-2</v>
      </c>
      <c r="U29" s="272">
        <v>51</v>
      </c>
      <c r="V29" s="272">
        <v>2</v>
      </c>
      <c r="X29"/>
      <c r="Y29"/>
      <c r="Z29"/>
      <c r="AA29"/>
    </row>
    <row r="30" spans="3:27" x14ac:dyDescent="0.15">
      <c r="P30" s="4"/>
      <c r="Q30" s="4"/>
      <c r="S30" s="280" t="s">
        <v>211</v>
      </c>
      <c r="T30" s="129">
        <v>4.9624927870744372E-2</v>
      </c>
      <c r="U30" s="272">
        <v>86</v>
      </c>
      <c r="V30" s="272">
        <v>1</v>
      </c>
      <c r="X30"/>
      <c r="Y30"/>
      <c r="Z30"/>
      <c r="AA30"/>
    </row>
    <row r="31" spans="3:27" x14ac:dyDescent="0.15">
      <c r="P31" s="4"/>
      <c r="Q31" s="4"/>
      <c r="X31"/>
      <c r="Y31"/>
      <c r="Z31"/>
      <c r="AA31"/>
    </row>
    <row r="32" spans="3:27" x14ac:dyDescent="0.15">
      <c r="P32" s="4"/>
      <c r="Q32" s="4"/>
      <c r="S32" s="10"/>
      <c r="T32" s="119" t="s">
        <v>122</v>
      </c>
      <c r="U32" s="120">
        <v>1733</v>
      </c>
      <c r="W32" s="10"/>
      <c r="X32"/>
      <c r="Y32"/>
      <c r="Z32"/>
      <c r="AA32"/>
    </row>
    <row r="33" spans="5:24" x14ac:dyDescent="0.15">
      <c r="P33" s="4"/>
      <c r="Q33" s="4"/>
    </row>
    <row r="34" spans="5:24" x14ac:dyDescent="0.15">
      <c r="P34" s="4"/>
      <c r="Q34" s="10"/>
    </row>
    <row r="35" spans="5:24" x14ac:dyDescent="0.15">
      <c r="P35" s="4"/>
      <c r="Q35" s="10"/>
    </row>
    <row r="36" spans="5:24" x14ac:dyDescent="0.15">
      <c r="E36" s="46" t="s">
        <v>122</v>
      </c>
      <c r="F36" s="47">
        <f>U32</f>
        <v>1733</v>
      </c>
      <c r="P36" s="4"/>
      <c r="Q36" s="10"/>
      <c r="S36" s="273" t="s">
        <v>26</v>
      </c>
      <c r="T36" s="274" t="s">
        <v>6</v>
      </c>
      <c r="U36" s="275" t="s">
        <v>117</v>
      </c>
      <c r="W36" s="10"/>
      <c r="X36" s="4"/>
    </row>
    <row r="37" spans="5:24" x14ac:dyDescent="0.15">
      <c r="P37" s="4"/>
      <c r="Q37" s="10"/>
      <c r="S37" s="271" t="s">
        <v>15</v>
      </c>
      <c r="T37" s="129">
        <v>0.77578215527230587</v>
      </c>
      <c r="U37" s="272">
        <v>1339</v>
      </c>
      <c r="W37" s="10"/>
      <c r="X37" s="4"/>
    </row>
    <row r="38" spans="5:24" x14ac:dyDescent="0.15">
      <c r="P38" s="4"/>
      <c r="Q38" s="10"/>
      <c r="R38" s="4"/>
      <c r="S38" s="271" t="s">
        <v>25</v>
      </c>
      <c r="T38" s="129">
        <v>0.21826536473291211</v>
      </c>
      <c r="U38" s="272">
        <v>380</v>
      </c>
      <c r="W38" s="10"/>
      <c r="X38" s="4"/>
    </row>
    <row r="39" spans="5:24" x14ac:dyDescent="0.15">
      <c r="P39" s="4"/>
      <c r="Q39" s="10"/>
      <c r="S39" s="271" t="s">
        <v>0</v>
      </c>
      <c r="T39" s="129">
        <v>0.13093858632676708</v>
      </c>
      <c r="U39" s="272">
        <v>226</v>
      </c>
      <c r="W39" s="10"/>
      <c r="X39" s="4"/>
    </row>
    <row r="40" spans="5:24" x14ac:dyDescent="0.15">
      <c r="P40" s="4"/>
      <c r="Q40" s="10"/>
      <c r="S40" s="271" t="s">
        <v>22</v>
      </c>
      <c r="T40" s="129">
        <v>5.6778679026651215E-2</v>
      </c>
      <c r="U40" s="272">
        <v>98</v>
      </c>
      <c r="W40" s="10"/>
      <c r="X40" s="4"/>
    </row>
    <row r="41" spans="5:24" x14ac:dyDescent="0.15">
      <c r="P41" s="4"/>
      <c r="Q41" s="10"/>
      <c r="S41" s="271" t="s">
        <v>23</v>
      </c>
      <c r="T41" s="129">
        <v>3.5341830822711473E-2</v>
      </c>
      <c r="U41" s="272">
        <v>61</v>
      </c>
      <c r="W41" s="10"/>
      <c r="X41" s="4"/>
    </row>
    <row r="42" spans="5:24" x14ac:dyDescent="0.15">
      <c r="S42" s="271" t="s">
        <v>24</v>
      </c>
      <c r="T42" s="129">
        <v>1.3904982618771726E-2</v>
      </c>
      <c r="U42" s="272">
        <v>24</v>
      </c>
      <c r="W42" s="10"/>
      <c r="X42" s="4"/>
    </row>
    <row r="43" spans="5:24" x14ac:dyDescent="0.15">
      <c r="R43" s="10"/>
      <c r="S43" s="276" t="s">
        <v>21</v>
      </c>
      <c r="T43" s="277">
        <v>7.8215527230590956E-2</v>
      </c>
      <c r="U43" s="278">
        <v>135</v>
      </c>
      <c r="V43" s="10"/>
      <c r="W43" s="10"/>
      <c r="X43" s="4"/>
    </row>
    <row r="44" spans="5:24" x14ac:dyDescent="0.15">
      <c r="R44" s="10"/>
      <c r="W44" s="10"/>
      <c r="X44" s="4"/>
    </row>
    <row r="45" spans="5:24" x14ac:dyDescent="0.15">
      <c r="R45" s="10"/>
      <c r="T45" s="118" t="s">
        <v>122</v>
      </c>
      <c r="U45" s="120">
        <v>1726</v>
      </c>
      <c r="V45" s="10"/>
      <c r="W45" s="10"/>
      <c r="X45" s="4"/>
    </row>
    <row r="46" spans="5:24" x14ac:dyDescent="0.15">
      <c r="T46" s="118" t="s">
        <v>183</v>
      </c>
      <c r="U46" s="118">
        <v>1741</v>
      </c>
      <c r="V46" s="10"/>
    </row>
    <row r="47" spans="5:24" x14ac:dyDescent="0.15">
      <c r="V47" s="10"/>
    </row>
    <row r="50" spans="19:22" x14ac:dyDescent="0.15">
      <c r="V50" s="10"/>
    </row>
    <row r="51" spans="19:22" x14ac:dyDescent="0.15">
      <c r="V51" s="10"/>
    </row>
    <row r="52" spans="19:22" x14ac:dyDescent="0.15">
      <c r="S52" s="273" t="s">
        <v>118</v>
      </c>
      <c r="T52" s="274" t="s">
        <v>6</v>
      </c>
      <c r="U52" s="275" t="s">
        <v>117</v>
      </c>
    </row>
    <row r="53" spans="19:22" x14ac:dyDescent="0.15">
      <c r="S53" s="271" t="s">
        <v>27</v>
      </c>
      <c r="T53" s="129">
        <v>0.31818181818181818</v>
      </c>
      <c r="U53" s="272">
        <v>553</v>
      </c>
    </row>
    <row r="54" spans="19:22" x14ac:dyDescent="0.15">
      <c r="S54" s="276" t="s">
        <v>14</v>
      </c>
      <c r="T54" s="277">
        <v>0.66168009205983891</v>
      </c>
      <c r="U54" s="282">
        <v>1150</v>
      </c>
    </row>
    <row r="55" spans="19:22" x14ac:dyDescent="0.15">
      <c r="S55" s="162"/>
      <c r="T55" s="58" t="s">
        <v>122</v>
      </c>
      <c r="U55" s="47">
        <v>1738</v>
      </c>
    </row>
    <row r="57" spans="19:22" x14ac:dyDescent="0.15">
      <c r="S57" s="273" t="s">
        <v>28</v>
      </c>
      <c r="T57" s="274" t="s">
        <v>6</v>
      </c>
      <c r="U57" s="275" t="s">
        <v>117</v>
      </c>
    </row>
    <row r="58" spans="19:22" x14ac:dyDescent="0.15">
      <c r="S58" s="280" t="s">
        <v>29</v>
      </c>
      <c r="T58" s="129">
        <v>2.5847214244686962E-2</v>
      </c>
      <c r="U58" s="272">
        <v>45</v>
      </c>
    </row>
    <row r="59" spans="19:22" x14ac:dyDescent="0.15">
      <c r="S59" s="280" t="s">
        <v>119</v>
      </c>
      <c r="T59" s="129">
        <v>9.0752441125789771E-2</v>
      </c>
      <c r="U59" s="272">
        <v>158</v>
      </c>
    </row>
    <row r="60" spans="19:22" x14ac:dyDescent="0.15">
      <c r="S60" s="281" t="s">
        <v>13</v>
      </c>
      <c r="T60" s="277">
        <v>0.80068925904652499</v>
      </c>
      <c r="U60" s="278">
        <v>1394</v>
      </c>
    </row>
    <row r="61" spans="19:22" x14ac:dyDescent="0.15">
      <c r="T61" s="46" t="s">
        <v>122</v>
      </c>
      <c r="U61" s="47">
        <v>1741</v>
      </c>
    </row>
  </sheetData>
  <sheetProtection password="8E6E" sheet="1" objects="1" scenarios="1" selectLockedCells="1" selectUnlockedCells="1"/>
  <sortState ref="S22:U28">
    <sortCondition ref="T17:T23"/>
  </sortState>
  <mergeCells count="1">
    <mergeCell ref="A2:N2"/>
  </mergeCells>
  <pageMargins left="0.5" right="0.5" top="0.5" bottom="0.5" header="0.1" footer="0.1"/>
  <pageSetup scale="64" orientation="landscape" r:id="rId1"/>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31"/>
  <sheetViews>
    <sheetView showGridLines="0" showRowColHeaders="0" zoomScale="90" zoomScaleNormal="90" workbookViewId="0">
      <selection activeCell="A35" sqref="A35"/>
    </sheetView>
  </sheetViews>
  <sheetFormatPr defaultColWidth="9.875" defaultRowHeight="11.25" x14ac:dyDescent="0.15"/>
  <cols>
    <col min="1" max="1" width="23" style="19" customWidth="1"/>
    <col min="2" max="2" width="3.625" style="4" customWidth="1"/>
    <col min="3" max="3" width="43" style="2" customWidth="1"/>
    <col min="4" max="4" width="8.625" style="2" customWidth="1"/>
    <col min="5" max="5" width="3.25" style="2" customWidth="1"/>
    <col min="6" max="12" width="9.875" style="2" customWidth="1"/>
    <col min="13" max="13" width="23.875" style="2" customWidth="1"/>
    <col min="14" max="14" width="9.875" style="2" customWidth="1"/>
    <col min="15" max="15" width="16.625" style="2" hidden="1" customWidth="1"/>
    <col min="16" max="16" width="67" style="2" hidden="1" customWidth="1"/>
    <col min="17" max="17" width="18.5" style="2" hidden="1" customWidth="1"/>
    <col min="18" max="18" width="22" style="2" hidden="1" customWidth="1"/>
    <col min="19" max="19" width="12.875" style="2" hidden="1" customWidth="1"/>
    <col min="20" max="20" width="13.375" style="2" hidden="1" customWidth="1"/>
    <col min="21" max="21" width="12.875" style="2" hidden="1" customWidth="1"/>
    <col min="22" max="22" width="14.875" style="2" hidden="1" customWidth="1"/>
    <col min="23" max="24" width="0" style="2" hidden="1" customWidth="1"/>
    <col min="25" max="16384" width="9.875" style="2"/>
  </cols>
  <sheetData>
    <row r="1" spans="1:19" ht="64.5" customHeight="1" thickBot="1" x14ac:dyDescent="0.2">
      <c r="A1" s="5"/>
      <c r="B1" s="5"/>
      <c r="C1" s="5"/>
      <c r="D1" s="5"/>
      <c r="E1" s="5"/>
      <c r="F1" s="5"/>
      <c r="G1" s="5"/>
      <c r="H1" s="5"/>
      <c r="I1" s="5"/>
      <c r="J1" s="5"/>
      <c r="K1" s="5"/>
      <c r="L1" s="8"/>
      <c r="M1" s="9" t="s">
        <v>1</v>
      </c>
      <c r="Q1" s="14" t="s">
        <v>30</v>
      </c>
      <c r="S1" s="14"/>
    </row>
    <row r="2" spans="1:19" ht="18" customHeight="1" x14ac:dyDescent="0.15">
      <c r="A2" s="428" t="s">
        <v>145</v>
      </c>
      <c r="B2" s="428"/>
      <c r="C2" s="428"/>
      <c r="D2" s="428"/>
      <c r="E2" s="428"/>
      <c r="F2" s="428"/>
      <c r="G2" s="428"/>
      <c r="H2" s="428"/>
      <c r="I2" s="428"/>
      <c r="J2" s="428"/>
      <c r="K2" s="428"/>
      <c r="L2" s="428"/>
      <c r="M2" s="428"/>
      <c r="P2" s="273" t="s">
        <v>31</v>
      </c>
      <c r="Q2" s="274" t="s">
        <v>6</v>
      </c>
      <c r="R2" s="274" t="s">
        <v>117</v>
      </c>
      <c r="S2" s="275" t="s">
        <v>185</v>
      </c>
    </row>
    <row r="3" spans="1:19" ht="15" customHeight="1" x14ac:dyDescent="0.15">
      <c r="O3" s="4"/>
      <c r="P3" s="271" t="s">
        <v>284</v>
      </c>
      <c r="Q3" s="129">
        <v>0.51292596944770863</v>
      </c>
      <c r="R3" s="126">
        <v>873</v>
      </c>
      <c r="S3" s="272">
        <v>1702</v>
      </c>
    </row>
    <row r="4" spans="1:19" ht="15.75" customHeight="1" x14ac:dyDescent="0.15">
      <c r="A4" s="25"/>
      <c r="O4" s="4"/>
      <c r="P4" s="285" t="s">
        <v>33</v>
      </c>
      <c r="Q4" s="129">
        <v>0.76232394366197187</v>
      </c>
      <c r="R4" s="126">
        <v>1299</v>
      </c>
      <c r="S4" s="272">
        <v>1704</v>
      </c>
    </row>
    <row r="5" spans="1:19" ht="15.75" customHeight="1" x14ac:dyDescent="0.15">
      <c r="D5" s="6"/>
      <c r="E5" s="6"/>
      <c r="F5" s="6"/>
      <c r="G5" s="6"/>
      <c r="H5" s="6"/>
      <c r="J5" s="6"/>
      <c r="K5" s="6"/>
      <c r="L5" s="6"/>
      <c r="M5" s="6"/>
      <c r="O5" s="4"/>
      <c r="P5" s="271" t="s">
        <v>285</v>
      </c>
      <c r="Q5" s="129">
        <v>0.8661186142102173</v>
      </c>
      <c r="R5" s="126">
        <v>1475</v>
      </c>
      <c r="S5" s="272">
        <v>1703</v>
      </c>
    </row>
    <row r="6" spans="1:19" ht="15.75" customHeight="1" x14ac:dyDescent="0.15">
      <c r="A6" s="24"/>
      <c r="B6" s="18"/>
      <c r="D6" s="6"/>
      <c r="E6" s="6"/>
      <c r="F6" s="6"/>
      <c r="G6" s="6"/>
      <c r="H6" s="6"/>
      <c r="I6" s="6"/>
      <c r="J6" s="6"/>
      <c r="K6" s="6"/>
      <c r="L6" s="6"/>
      <c r="M6" s="6"/>
      <c r="O6" s="4"/>
      <c r="P6" s="284" t="s">
        <v>32</v>
      </c>
      <c r="Q6" s="277">
        <v>0.87448680351906161</v>
      </c>
      <c r="R6" s="286">
        <v>1491</v>
      </c>
      <c r="S6" s="278">
        <v>1705</v>
      </c>
    </row>
    <row r="7" spans="1:19" ht="15.75" customHeight="1" x14ac:dyDescent="0.15">
      <c r="A7" s="25"/>
      <c r="D7" s="17"/>
      <c r="E7" s="7"/>
      <c r="F7" s="7"/>
      <c r="G7" s="7"/>
      <c r="H7" s="7"/>
      <c r="I7" s="7"/>
      <c r="J7" s="7"/>
      <c r="K7" s="7"/>
      <c r="L7" s="7"/>
      <c r="M7" s="7"/>
      <c r="O7" s="4"/>
    </row>
    <row r="8" spans="1:19" ht="15.75" customHeight="1" x14ac:dyDescent="0.15">
      <c r="A8" s="29"/>
      <c r="D8" s="16"/>
      <c r="O8" s="4"/>
      <c r="R8" s="153" t="s">
        <v>121</v>
      </c>
      <c r="S8" s="53">
        <v>1703.5</v>
      </c>
    </row>
    <row r="9" spans="1:19" s="3" customFormat="1" ht="15.75" customHeight="1" x14ac:dyDescent="0.15">
      <c r="A9" s="27"/>
      <c r="B9" s="1"/>
      <c r="D9" s="11"/>
      <c r="O9" s="4"/>
      <c r="P9" s="4"/>
      <c r="Q9" s="2"/>
    </row>
    <row r="10" spans="1:19" s="3" customFormat="1" ht="15.75" customHeight="1" x14ac:dyDescent="0.15">
      <c r="A10" s="20"/>
      <c r="B10" s="1"/>
      <c r="D10" s="11"/>
      <c r="O10" s="4"/>
      <c r="P10" s="4"/>
      <c r="Q10" s="12" t="s">
        <v>30</v>
      </c>
      <c r="R10" s="4"/>
      <c r="S10" s="12"/>
    </row>
    <row r="11" spans="1:19" s="3" customFormat="1" ht="15.75" customHeight="1" x14ac:dyDescent="0.15">
      <c r="A11" s="20"/>
      <c r="B11" s="1"/>
      <c r="O11" s="4"/>
      <c r="P11" s="273" t="s">
        <v>34</v>
      </c>
      <c r="Q11" s="274" t="s">
        <v>6</v>
      </c>
      <c r="R11" s="274" t="s">
        <v>117</v>
      </c>
      <c r="S11" s="275" t="s">
        <v>185</v>
      </c>
    </row>
    <row r="12" spans="1:19" s="3" customFormat="1" ht="15.75" customHeight="1" x14ac:dyDescent="0.15">
      <c r="A12" s="20"/>
      <c r="B12" s="1"/>
      <c r="O12" s="4"/>
      <c r="P12" s="285" t="s">
        <v>35</v>
      </c>
      <c r="Q12" s="127">
        <v>0.28492647058823528</v>
      </c>
      <c r="R12" s="128">
        <v>465</v>
      </c>
      <c r="S12" s="287">
        <v>1632</v>
      </c>
    </row>
    <row r="13" spans="1:19" s="3" customFormat="1" ht="15.75" customHeight="1" x14ac:dyDescent="0.15">
      <c r="A13" s="20"/>
      <c r="B13" s="1"/>
      <c r="O13" s="4"/>
      <c r="P13" s="285" t="s">
        <v>36</v>
      </c>
      <c r="Q13" s="127">
        <v>0.34497549019607843</v>
      </c>
      <c r="R13" s="128">
        <v>563</v>
      </c>
      <c r="S13" s="287">
        <v>1632</v>
      </c>
    </row>
    <row r="14" spans="1:19" s="3" customFormat="1" ht="15.75" customHeight="1" x14ac:dyDescent="0.15">
      <c r="A14" s="20"/>
      <c r="B14" s="1"/>
      <c r="O14" s="4"/>
      <c r="P14" s="285" t="s">
        <v>37</v>
      </c>
      <c r="Q14" s="127">
        <v>0.76117575015309247</v>
      </c>
      <c r="R14" s="128">
        <v>1243</v>
      </c>
      <c r="S14" s="287">
        <v>1633</v>
      </c>
    </row>
    <row r="15" spans="1:19" ht="17.25" customHeight="1" x14ac:dyDescent="0.15">
      <c r="P15" s="284" t="s">
        <v>38</v>
      </c>
      <c r="Q15" s="288">
        <v>0.85522296884544902</v>
      </c>
      <c r="R15" s="289">
        <v>1400</v>
      </c>
      <c r="S15" s="283">
        <v>1637</v>
      </c>
    </row>
    <row r="16" spans="1:19" ht="15" customHeight="1" x14ac:dyDescent="0.15"/>
    <row r="17" spans="3:22" ht="27.75" customHeight="1" x14ac:dyDescent="0.15">
      <c r="C17" s="203" t="s">
        <v>39</v>
      </c>
      <c r="D17" s="204" t="s">
        <v>17</v>
      </c>
      <c r="F17" s="52" t="s">
        <v>121</v>
      </c>
      <c r="G17" s="53">
        <f>S8</f>
        <v>1703.5</v>
      </c>
      <c r="P17" s="10"/>
      <c r="Q17" s="13"/>
      <c r="R17" s="151" t="s">
        <v>121</v>
      </c>
      <c r="S17" s="152">
        <v>1633.5</v>
      </c>
    </row>
    <row r="18" spans="3:22" ht="27" customHeight="1" x14ac:dyDescent="0.15">
      <c r="C18" s="205" t="s">
        <v>120</v>
      </c>
      <c r="D18" s="242">
        <f>Q24</f>
        <v>0.35197817189631653</v>
      </c>
    </row>
    <row r="19" spans="3:22" ht="27" customHeight="1" x14ac:dyDescent="0.15">
      <c r="C19" s="207" t="s">
        <v>40</v>
      </c>
      <c r="D19" s="202">
        <f>Q23</f>
        <v>0.12824010914051842</v>
      </c>
      <c r="Q19" s="22" t="s">
        <v>17</v>
      </c>
    </row>
    <row r="20" spans="3:22" ht="27" customHeight="1" x14ac:dyDescent="0.15">
      <c r="C20" s="205" t="s">
        <v>42</v>
      </c>
      <c r="D20" s="206">
        <f>Q22</f>
        <v>6.207366984993179E-2</v>
      </c>
      <c r="P20" s="273" t="s">
        <v>39</v>
      </c>
      <c r="Q20" s="274" t="s">
        <v>127</v>
      </c>
      <c r="R20" s="290" t="s">
        <v>263</v>
      </c>
      <c r="S20" s="290" t="s">
        <v>259</v>
      </c>
      <c r="T20" s="290" t="s">
        <v>260</v>
      </c>
      <c r="U20" s="290" t="s">
        <v>261</v>
      </c>
      <c r="V20" s="291" t="s">
        <v>262</v>
      </c>
    </row>
    <row r="21" spans="3:22" ht="27" customHeight="1" x14ac:dyDescent="0.15">
      <c r="C21" s="208" t="s">
        <v>41</v>
      </c>
      <c r="D21" s="198">
        <f>Q21</f>
        <v>4.229195088676671E-2</v>
      </c>
      <c r="P21" s="271" t="s">
        <v>41</v>
      </c>
      <c r="Q21" s="127">
        <v>4.229195088676671E-2</v>
      </c>
      <c r="R21" s="126">
        <v>62</v>
      </c>
      <c r="S21" s="126">
        <v>23</v>
      </c>
      <c r="T21" s="126">
        <v>24</v>
      </c>
      <c r="U21" s="126">
        <v>29</v>
      </c>
      <c r="V21" s="272">
        <v>76</v>
      </c>
    </row>
    <row r="22" spans="3:22" ht="15.75" customHeight="1" x14ac:dyDescent="0.15">
      <c r="C22" s="48" t="s">
        <v>122</v>
      </c>
      <c r="D22" s="49">
        <f>R26</f>
        <v>1466</v>
      </c>
      <c r="P22" s="271" t="s">
        <v>286</v>
      </c>
      <c r="Q22" s="127">
        <v>6.207366984993179E-2</v>
      </c>
      <c r="R22" s="126">
        <v>91</v>
      </c>
      <c r="S22" s="126">
        <v>38</v>
      </c>
      <c r="T22" s="126">
        <v>38</v>
      </c>
      <c r="U22" s="126">
        <v>39</v>
      </c>
      <c r="V22" s="272">
        <v>115</v>
      </c>
    </row>
    <row r="23" spans="3:22" ht="43.5" customHeight="1" x14ac:dyDescent="0.15">
      <c r="P23" s="271" t="s">
        <v>287</v>
      </c>
      <c r="Q23" s="127">
        <v>0.12824010914051842</v>
      </c>
      <c r="R23" s="126">
        <v>188</v>
      </c>
      <c r="S23" s="126">
        <v>77</v>
      </c>
      <c r="T23" s="126">
        <v>93</v>
      </c>
      <c r="U23" s="126">
        <v>85</v>
      </c>
      <c r="V23" s="272">
        <v>255</v>
      </c>
    </row>
    <row r="24" spans="3:22" x14ac:dyDescent="0.15">
      <c r="P24" s="281" t="s">
        <v>120</v>
      </c>
      <c r="Q24" s="288">
        <v>0.35197817189631653</v>
      </c>
      <c r="R24" s="286">
        <v>516</v>
      </c>
      <c r="S24" s="286">
        <v>272</v>
      </c>
      <c r="T24" s="286">
        <v>310</v>
      </c>
      <c r="U24" s="286">
        <v>171</v>
      </c>
      <c r="V24" s="278">
        <v>753</v>
      </c>
    </row>
    <row r="25" spans="3:22" x14ac:dyDescent="0.15">
      <c r="Q25" s="13"/>
      <c r="T25" s="10"/>
      <c r="U25" s="4"/>
    </row>
    <row r="26" spans="3:22" x14ac:dyDescent="0.15">
      <c r="Q26" s="158" t="s">
        <v>122</v>
      </c>
      <c r="R26" s="121">
        <v>1466</v>
      </c>
      <c r="T26" s="10"/>
      <c r="U26" s="4"/>
    </row>
    <row r="27" spans="3:22" x14ac:dyDescent="0.15">
      <c r="P27" s="4"/>
      <c r="Q27" s="10"/>
      <c r="R27" s="10"/>
      <c r="S27" s="10"/>
      <c r="T27" s="10"/>
      <c r="U27" s="4"/>
    </row>
    <row r="28" spans="3:22" x14ac:dyDescent="0.15">
      <c r="O28" s="10"/>
      <c r="P28" s="10"/>
      <c r="Q28" s="10"/>
      <c r="S28" s="10"/>
      <c r="T28" s="10"/>
      <c r="U28" s="4"/>
    </row>
    <row r="29" spans="3:22" x14ac:dyDescent="0.15">
      <c r="O29" s="10"/>
      <c r="P29" s="12"/>
      <c r="Q29" s="10"/>
      <c r="S29" s="10"/>
      <c r="T29" s="10"/>
      <c r="U29" s="4"/>
    </row>
    <row r="30" spans="3:22" x14ac:dyDescent="0.15">
      <c r="F30" s="46" t="s">
        <v>121</v>
      </c>
      <c r="G30" s="50">
        <f>S17</f>
        <v>1633.5</v>
      </c>
      <c r="O30" s="10"/>
      <c r="P30" s="10"/>
      <c r="Q30" s="15"/>
      <c r="S30" s="10"/>
      <c r="T30" s="10"/>
      <c r="U30" s="4"/>
    </row>
    <row r="31" spans="3:22" x14ac:dyDescent="0.15">
      <c r="P31" s="14"/>
    </row>
  </sheetData>
  <sheetProtection password="8E6E" sheet="1" objects="1" scenarios="1" selectLockedCells="1" selectUnlockedCells="1"/>
  <sortState ref="P21:R24">
    <sortCondition ref="Q15:Q18"/>
  </sortState>
  <mergeCells count="1">
    <mergeCell ref="A2:M2"/>
  </mergeCells>
  <pageMargins left="0.5" right="0.5" top="0.5" bottom="0.5" header="0.1" footer="0.1"/>
  <pageSetup scale="69"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62"/>
  <sheetViews>
    <sheetView showGridLines="0" showRowColHeaders="0" zoomScale="90" zoomScaleNormal="90" workbookViewId="0">
      <selection activeCell="A35" sqref="A35"/>
    </sheetView>
  </sheetViews>
  <sheetFormatPr defaultColWidth="9.875" defaultRowHeight="11.25" x14ac:dyDescent="0.15"/>
  <cols>
    <col min="1" max="1" width="23" style="62" customWidth="1"/>
    <col min="2" max="2" width="3.625" style="63" customWidth="1"/>
    <col min="3" max="3" width="49.75" style="64" customWidth="1"/>
    <col min="4" max="4" width="9.875" style="64" customWidth="1"/>
    <col min="5" max="5" width="4.75" style="64" customWidth="1"/>
    <col min="6" max="6" width="30.875" style="64" customWidth="1"/>
    <col min="7" max="7" width="8" style="64" customWidth="1"/>
    <col min="8" max="8" width="9.875" style="64" customWidth="1"/>
    <col min="9" max="9" width="4.25" style="64" customWidth="1"/>
    <col min="10" max="10" width="5.375" style="64" customWidth="1"/>
    <col min="11" max="11" width="21.375" style="64" customWidth="1"/>
    <col min="12" max="12" width="4.375" style="64" customWidth="1"/>
    <col min="13" max="13" width="5" style="64" customWidth="1"/>
    <col min="14" max="14" width="43.75" style="64" hidden="1" customWidth="1"/>
    <col min="15" max="15" width="126.25" style="64" hidden="1" customWidth="1"/>
    <col min="16" max="16" width="15" style="64" hidden="1" customWidth="1"/>
    <col min="17" max="17" width="12.375" style="64" hidden="1" customWidth="1"/>
    <col min="18" max="18" width="16.875" style="64" hidden="1" customWidth="1"/>
    <col min="19" max="19" width="9.875" style="64" hidden="1" customWidth="1"/>
    <col min="20" max="20" width="16.5" style="64" hidden="1" customWidth="1"/>
    <col min="21" max="21" width="10.125" style="64" hidden="1" customWidth="1"/>
    <col min="22" max="22" width="10.375" style="64" hidden="1" customWidth="1"/>
    <col min="23" max="23" width="11.125" style="64" hidden="1" customWidth="1"/>
    <col min="24" max="24" width="18" style="64" hidden="1" customWidth="1"/>
    <col min="25" max="25" width="19.375" style="64" hidden="1" customWidth="1"/>
    <col min="26" max="27" width="12.125" style="64" hidden="1" customWidth="1"/>
    <col min="28" max="34" width="0" style="64" hidden="1" customWidth="1"/>
    <col min="35" max="16384" width="9.875" style="64"/>
  </cols>
  <sheetData>
    <row r="1" spans="1:26" ht="64.5" customHeight="1" thickBot="1" x14ac:dyDescent="0.2">
      <c r="A1" s="91"/>
      <c r="B1" s="91"/>
      <c r="C1" s="91"/>
      <c r="D1" s="91"/>
      <c r="E1" s="91"/>
      <c r="F1" s="91"/>
      <c r="G1" s="91"/>
      <c r="H1" s="91"/>
      <c r="I1" s="91"/>
      <c r="J1" s="91"/>
      <c r="K1" s="92"/>
      <c r="L1" s="93" t="s">
        <v>1</v>
      </c>
      <c r="T1" s="68" t="s">
        <v>125</v>
      </c>
    </row>
    <row r="2" spans="1:26" ht="18" customHeight="1" x14ac:dyDescent="0.15">
      <c r="A2" s="429" t="s">
        <v>146</v>
      </c>
      <c r="B2" s="429"/>
      <c r="C2" s="429"/>
      <c r="D2" s="429"/>
      <c r="E2" s="429"/>
      <c r="F2" s="429"/>
      <c r="G2" s="429"/>
      <c r="H2" s="429"/>
      <c r="I2" s="429"/>
      <c r="J2" s="429"/>
      <c r="K2" s="429"/>
      <c r="L2" s="429"/>
      <c r="O2" s="243" t="s">
        <v>44</v>
      </c>
      <c r="P2" s="243" t="str">
        <f>F4</f>
        <v>All Years</v>
      </c>
      <c r="Q2" s="244">
        <f>VLOOKUP(P2,T$2:U$8, 2,0)</f>
        <v>7</v>
      </c>
      <c r="T2" s="131" t="s">
        <v>107</v>
      </c>
      <c r="U2" s="133">
        <v>7</v>
      </c>
    </row>
    <row r="3" spans="1:26" ht="15" customHeight="1" x14ac:dyDescent="0.15">
      <c r="N3" s="63"/>
      <c r="O3" s="132" t="s">
        <v>17</v>
      </c>
      <c r="P3" s="155">
        <f>Q3/Q$6</f>
        <v>0.40573770491803279</v>
      </c>
      <c r="Q3" s="133">
        <f>IF($Q$2=7, Z5, IF($Q$2=1, Z11, IF($Q$2=2, Z17, IF($Q$2=3, Z23, IF($Q$2=4, Z29, IF($Q$2=5, AA35, IF($Q$2=6, Z41,"")))))))</f>
        <v>594</v>
      </c>
      <c r="R3" s="64" t="s">
        <v>279</v>
      </c>
      <c r="T3" s="131" t="s">
        <v>108</v>
      </c>
      <c r="U3" s="133">
        <v>1</v>
      </c>
      <c r="W3" s="68">
        <v>7</v>
      </c>
      <c r="X3" s="68" t="s">
        <v>266</v>
      </c>
    </row>
    <row r="4" spans="1:26" ht="18.75" customHeight="1" x14ac:dyDescent="0.15">
      <c r="A4" s="25"/>
      <c r="F4" s="90" t="s">
        <v>107</v>
      </c>
      <c r="G4" s="96" t="s">
        <v>122</v>
      </c>
      <c r="H4" s="97">
        <f>Q6</f>
        <v>1464</v>
      </c>
      <c r="I4" s="95"/>
      <c r="J4" s="95"/>
      <c r="N4" s="63"/>
      <c r="O4" s="133" t="s">
        <v>18</v>
      </c>
      <c r="P4" s="155">
        <f t="shared" ref="P4:P5" si="0">Q4/Q$6</f>
        <v>0.37636612021857924</v>
      </c>
      <c r="Q4" s="133">
        <f>IF($Q$2=7, Z6, IF($Q$2=1, Z12, IF($Q$2=2, Z18, IF($Q$2=3, Z24, IF($Q$2=4, Z30, IF($Q$2=5, AA36, IF($Q$2=6, Z42,"")))))))</f>
        <v>551</v>
      </c>
      <c r="T4" s="131" t="s">
        <v>109</v>
      </c>
      <c r="U4" s="133">
        <v>2</v>
      </c>
      <c r="W4" s="68"/>
      <c r="X4" s="154" t="s">
        <v>44</v>
      </c>
      <c r="Y4" s="154" t="s">
        <v>6</v>
      </c>
      <c r="Z4" s="240" t="s">
        <v>117</v>
      </c>
    </row>
    <row r="5" spans="1:26" ht="30" customHeight="1" x14ac:dyDescent="0.15">
      <c r="D5" s="72"/>
      <c r="E5" s="72"/>
      <c r="F5" s="72"/>
      <c r="G5" s="72"/>
      <c r="H5" s="72"/>
      <c r="K5" s="72"/>
      <c r="L5" s="72"/>
      <c r="N5" s="63"/>
      <c r="O5" s="133" t="s">
        <v>43</v>
      </c>
      <c r="P5" s="155">
        <f t="shared" si="0"/>
        <v>0.21789617486338797</v>
      </c>
      <c r="Q5" s="133">
        <f>IF($Q$2=7, Z7, IF($Q$2=1, Z13, IF($Q$2=2, Z19, IF($Q$2=3, Z25, IF($Q$2=4, AA31, IF($Q$2=5, AA37, IF($Q$2=6, Z43,"")))))))</f>
        <v>319</v>
      </c>
      <c r="T5" s="131" t="s">
        <v>110</v>
      </c>
      <c r="U5" s="133">
        <v>3</v>
      </c>
      <c r="W5" s="68"/>
      <c r="X5" s="132" t="s">
        <v>17</v>
      </c>
      <c r="Y5" s="155">
        <v>0.40573770491803279</v>
      </c>
      <c r="Z5" s="133">
        <v>594</v>
      </c>
    </row>
    <row r="6" spans="1:26" ht="18" customHeight="1" x14ac:dyDescent="0.15">
      <c r="A6" s="24"/>
      <c r="B6" s="74"/>
      <c r="D6" s="72"/>
      <c r="E6" s="72"/>
      <c r="F6" s="72"/>
      <c r="G6" s="72"/>
      <c r="H6" s="72"/>
      <c r="I6" s="72"/>
      <c r="K6" s="72"/>
      <c r="L6" s="72"/>
      <c r="N6" s="63"/>
      <c r="O6" s="63"/>
      <c r="P6" s="156" t="s">
        <v>122</v>
      </c>
      <c r="Q6" s="157">
        <f>SUM(Q3:Q5)</f>
        <v>1464</v>
      </c>
      <c r="T6" s="131" t="s">
        <v>111</v>
      </c>
      <c r="U6" s="133">
        <v>4</v>
      </c>
      <c r="W6" s="68"/>
      <c r="X6" s="133" t="s">
        <v>18</v>
      </c>
      <c r="Y6" s="155">
        <v>0.37636612021857924</v>
      </c>
      <c r="Z6" s="133">
        <v>551</v>
      </c>
    </row>
    <row r="7" spans="1:26" ht="15.75" customHeight="1" x14ac:dyDescent="0.15">
      <c r="A7" s="25"/>
      <c r="D7" s="76"/>
      <c r="E7" s="77"/>
      <c r="F7" s="77"/>
      <c r="G7" s="77"/>
      <c r="H7" s="77"/>
      <c r="I7" s="77"/>
      <c r="K7" s="77"/>
      <c r="L7" s="77"/>
      <c r="N7" s="63"/>
      <c r="O7" s="63"/>
      <c r="P7" s="66"/>
      <c r="Q7" s="63"/>
      <c r="T7" s="131" t="s">
        <v>112</v>
      </c>
      <c r="U7" s="133">
        <v>5</v>
      </c>
      <c r="W7" s="68"/>
      <c r="X7" s="133" t="s">
        <v>43</v>
      </c>
      <c r="Y7" s="155">
        <v>0.21789617486338797</v>
      </c>
      <c r="Z7" s="133">
        <v>319</v>
      </c>
    </row>
    <row r="8" spans="1:26" ht="17.25" customHeight="1" x14ac:dyDescent="0.15">
      <c r="A8" s="25"/>
      <c r="D8" s="79"/>
      <c r="N8" s="63"/>
      <c r="O8" s="69"/>
      <c r="P8" s="68"/>
      <c r="R8" s="69"/>
      <c r="T8" s="131" t="s">
        <v>113</v>
      </c>
      <c r="U8" s="133">
        <v>6</v>
      </c>
      <c r="W8" s="68"/>
      <c r="X8" s="63"/>
      <c r="Y8" s="156"/>
      <c r="Z8" s="157"/>
    </row>
    <row r="9" spans="1:26" s="75" customFormat="1" ht="27" customHeight="1" x14ac:dyDescent="0.15">
      <c r="A9" s="27"/>
      <c r="B9" s="80"/>
      <c r="D9" s="81"/>
      <c r="N9" s="63"/>
      <c r="O9" s="273" t="s">
        <v>50</v>
      </c>
      <c r="P9" s="274" t="s">
        <v>6</v>
      </c>
      <c r="Q9" s="274" t="s">
        <v>117</v>
      </c>
      <c r="R9" s="293" t="s">
        <v>185</v>
      </c>
      <c r="W9" s="68">
        <v>1</v>
      </c>
      <c r="X9" s="69" t="s">
        <v>267</v>
      </c>
      <c r="Y9" s="64"/>
      <c r="Z9" s="64"/>
    </row>
    <row r="10" spans="1:26" s="75" customFormat="1" ht="17.25" customHeight="1" x14ac:dyDescent="0.15">
      <c r="A10" s="83"/>
      <c r="B10" s="80"/>
      <c r="D10" s="81"/>
      <c r="N10" s="63"/>
      <c r="O10" s="280" t="s">
        <v>45</v>
      </c>
      <c r="P10" s="248">
        <v>0.8183361629881154</v>
      </c>
      <c r="Q10" s="133">
        <v>482</v>
      </c>
      <c r="R10" s="292">
        <v>589</v>
      </c>
      <c r="W10" s="65"/>
      <c r="X10" s="154" t="s">
        <v>44</v>
      </c>
      <c r="Y10" s="154" t="s">
        <v>6</v>
      </c>
      <c r="Z10" s="240" t="s">
        <v>117</v>
      </c>
    </row>
    <row r="11" spans="1:26" s="75" customFormat="1" ht="17.25" customHeight="1" x14ac:dyDescent="0.15">
      <c r="A11" s="83"/>
      <c r="B11" s="80"/>
      <c r="N11" s="63"/>
      <c r="O11" s="280" t="s">
        <v>47</v>
      </c>
      <c r="P11" s="248">
        <v>0.81016949152542372</v>
      </c>
      <c r="Q11" s="133">
        <v>478</v>
      </c>
      <c r="R11" s="292">
        <v>590</v>
      </c>
      <c r="W11" s="65"/>
      <c r="X11" s="132" t="s">
        <v>17</v>
      </c>
      <c r="Y11" s="155">
        <v>6.3524590163934427E-2</v>
      </c>
      <c r="Z11" s="133">
        <v>93</v>
      </c>
    </row>
    <row r="12" spans="1:26" s="75" customFormat="1" ht="17.25" customHeight="1" x14ac:dyDescent="0.15">
      <c r="A12" s="83"/>
      <c r="B12" s="80"/>
      <c r="N12" s="63"/>
      <c r="O12" s="280" t="s">
        <v>49</v>
      </c>
      <c r="P12" s="248">
        <v>0.78911564625850339</v>
      </c>
      <c r="Q12" s="133">
        <v>464</v>
      </c>
      <c r="R12" s="292">
        <v>588</v>
      </c>
      <c r="W12" s="65"/>
      <c r="X12" s="133" t="s">
        <v>18</v>
      </c>
      <c r="Y12" s="155">
        <v>6.0109289617486336E-2</v>
      </c>
      <c r="Z12" s="133">
        <v>88</v>
      </c>
    </row>
    <row r="13" spans="1:26" s="75" customFormat="1" ht="17.25" customHeight="1" x14ac:dyDescent="0.15">
      <c r="A13" s="83"/>
      <c r="B13" s="80"/>
      <c r="N13" s="63"/>
      <c r="O13" s="280" t="s">
        <v>48</v>
      </c>
      <c r="P13" s="248">
        <v>0.69795221843003408</v>
      </c>
      <c r="Q13" s="133">
        <v>409</v>
      </c>
      <c r="R13" s="292">
        <v>586</v>
      </c>
      <c r="W13" s="65"/>
      <c r="X13" s="133" t="s">
        <v>43</v>
      </c>
      <c r="Y13" s="155">
        <v>3.7568306010928962E-2</v>
      </c>
      <c r="Z13" s="133">
        <v>55</v>
      </c>
    </row>
    <row r="14" spans="1:26" s="75" customFormat="1" ht="43.5" customHeight="1" x14ac:dyDescent="0.15">
      <c r="A14" s="83"/>
      <c r="B14" s="80"/>
      <c r="C14" s="203" t="s">
        <v>288</v>
      </c>
      <c r="D14" s="204" t="s">
        <v>6</v>
      </c>
      <c r="N14" s="63"/>
      <c r="O14" s="281" t="s">
        <v>46</v>
      </c>
      <c r="P14" s="294">
        <v>0.62244897959183676</v>
      </c>
      <c r="Q14" s="295">
        <v>366</v>
      </c>
      <c r="R14" s="296">
        <v>588</v>
      </c>
      <c r="W14" s="65"/>
      <c r="X14" s="63"/>
      <c r="Y14" s="156"/>
      <c r="Z14" s="157"/>
    </row>
    <row r="15" spans="1:26" ht="27" customHeight="1" x14ac:dyDescent="0.15">
      <c r="C15" s="263" t="str">
        <f>O10</f>
        <v>The definition of sexual violence</v>
      </c>
      <c r="D15" s="209">
        <f>P10</f>
        <v>0.8183361629881154</v>
      </c>
      <c r="T15" s="75"/>
      <c r="U15" s="75"/>
      <c r="V15" s="75"/>
      <c r="W15" s="65">
        <v>2</v>
      </c>
      <c r="X15" s="65" t="s">
        <v>268</v>
      </c>
      <c r="Y15" s="75"/>
      <c r="Z15" s="75"/>
    </row>
    <row r="16" spans="1:26" ht="27" customHeight="1" x14ac:dyDescent="0.15">
      <c r="C16" s="409" t="str">
        <f t="shared" ref="C16:D19" si="1">O11</f>
        <v>Reporting an incident of sexual violence</v>
      </c>
      <c r="D16" s="198">
        <f t="shared" si="1"/>
        <v>0.81016949152542372</v>
      </c>
      <c r="O16" s="78"/>
      <c r="P16" s="99"/>
      <c r="Q16" s="164" t="s">
        <v>121</v>
      </c>
      <c r="R16" s="86">
        <v>588.20000000000005</v>
      </c>
      <c r="T16" s="75"/>
      <c r="U16" s="75"/>
      <c r="V16" s="75"/>
      <c r="W16" s="68"/>
      <c r="X16" s="154" t="s">
        <v>44</v>
      </c>
      <c r="Y16" s="154" t="s">
        <v>6</v>
      </c>
      <c r="Z16" s="240" t="s">
        <v>117</v>
      </c>
    </row>
    <row r="17" spans="3:27" ht="27" customHeight="1" x14ac:dyDescent="0.15">
      <c r="C17" s="263" t="str">
        <f t="shared" si="1"/>
        <v>Sexual violence prevention strategies (e.g., asking for consent, responsible alcohol use)</v>
      </c>
      <c r="D17" s="209">
        <f t="shared" si="1"/>
        <v>0.78911564625850339</v>
      </c>
      <c r="R17" s="69"/>
      <c r="S17" s="69"/>
      <c r="T17" s="75"/>
      <c r="U17" s="75"/>
      <c r="V17" s="75"/>
      <c r="W17" s="68"/>
      <c r="X17" s="132" t="s">
        <v>17</v>
      </c>
      <c r="Y17" s="155">
        <v>5.4644808743169397E-2</v>
      </c>
      <c r="Z17" s="133">
        <v>80</v>
      </c>
    </row>
    <row r="18" spans="3:27" ht="27" customHeight="1" x14ac:dyDescent="0.15">
      <c r="C18" s="409" t="str">
        <f t="shared" si="1"/>
        <v>Bystander intervention</v>
      </c>
      <c r="D18" s="198">
        <f t="shared" si="1"/>
        <v>0.69795221843003408</v>
      </c>
      <c r="O18" s="273" t="s">
        <v>53</v>
      </c>
      <c r="P18" s="274" t="s">
        <v>6</v>
      </c>
      <c r="Q18" s="274" t="s">
        <v>117</v>
      </c>
      <c r="R18" s="293" t="s">
        <v>185</v>
      </c>
      <c r="S18" s="78"/>
      <c r="T18" s="75"/>
      <c r="U18" s="75"/>
      <c r="V18" s="75"/>
      <c r="W18" s="68"/>
      <c r="X18" s="133" t="s">
        <v>18</v>
      </c>
      <c r="Y18" s="155">
        <v>5.6010928961748634E-2</v>
      </c>
      <c r="Z18" s="133">
        <v>82</v>
      </c>
    </row>
    <row r="19" spans="3:27" ht="27" customHeight="1" x14ac:dyDescent="0.15">
      <c r="C19" s="263" t="str">
        <f t="shared" si="1"/>
        <v>The school's procedures for investigating an incident of sexual violence</v>
      </c>
      <c r="D19" s="209">
        <f t="shared" si="1"/>
        <v>0.62244897959183676</v>
      </c>
      <c r="O19" s="297" t="s">
        <v>243</v>
      </c>
      <c r="P19" s="248">
        <v>0.3948087431693989</v>
      </c>
      <c r="Q19" s="249">
        <v>578</v>
      </c>
      <c r="R19" s="298">
        <v>1464</v>
      </c>
      <c r="S19" s="78"/>
      <c r="T19" s="75"/>
      <c r="U19" s="75"/>
      <c r="V19" s="75"/>
      <c r="W19" s="68"/>
      <c r="X19" s="133" t="s">
        <v>43</v>
      </c>
      <c r="Y19" s="155">
        <v>3.0054644808743168E-2</v>
      </c>
      <c r="Z19" s="133">
        <v>44</v>
      </c>
    </row>
    <row r="20" spans="3:27" ht="45" x14ac:dyDescent="0.15">
      <c r="C20" s="89" t="s">
        <v>121</v>
      </c>
      <c r="D20" s="108">
        <f>R16</f>
        <v>588.20000000000005</v>
      </c>
      <c r="O20" s="297" t="s">
        <v>244</v>
      </c>
      <c r="P20" s="248">
        <v>0.65710382513661203</v>
      </c>
      <c r="Q20" s="131">
        <v>962</v>
      </c>
      <c r="R20" s="298">
        <v>1464</v>
      </c>
      <c r="S20" s="78"/>
      <c r="T20" s="75"/>
      <c r="U20" s="75"/>
      <c r="V20" s="75"/>
      <c r="W20" s="68"/>
      <c r="X20" s="63"/>
      <c r="Y20" s="156"/>
      <c r="Z20" s="157"/>
    </row>
    <row r="21" spans="3:27" ht="14.25" customHeight="1" x14ac:dyDescent="0.15">
      <c r="O21" s="280" t="s">
        <v>51</v>
      </c>
      <c r="P21" s="248">
        <v>0.72256305385139741</v>
      </c>
      <c r="Q21" s="131">
        <v>1060</v>
      </c>
      <c r="R21" s="298">
        <v>1467</v>
      </c>
      <c r="S21" s="78"/>
      <c r="T21" s="75"/>
      <c r="U21" s="75"/>
      <c r="V21" s="75"/>
      <c r="W21" s="68">
        <v>3</v>
      </c>
      <c r="X21" s="68" t="s">
        <v>269</v>
      </c>
    </row>
    <row r="22" spans="3:27" x14ac:dyDescent="0.15">
      <c r="O22" s="299" t="s">
        <v>52</v>
      </c>
      <c r="P22" s="300">
        <v>0.84368600682593853</v>
      </c>
      <c r="Q22" s="301">
        <v>1236</v>
      </c>
      <c r="R22" s="302">
        <v>1465</v>
      </c>
      <c r="S22" s="78"/>
      <c r="T22" s="75"/>
      <c r="U22" s="75"/>
      <c r="V22" s="75"/>
      <c r="W22" s="68"/>
      <c r="X22" s="154" t="s">
        <v>44</v>
      </c>
      <c r="Y22" s="154" t="s">
        <v>6</v>
      </c>
      <c r="Z22" s="240" t="s">
        <v>117</v>
      </c>
    </row>
    <row r="23" spans="3:27" x14ac:dyDescent="0.15">
      <c r="N23" s="78"/>
      <c r="P23" s="78"/>
      <c r="Q23" s="78"/>
      <c r="R23" s="78"/>
      <c r="S23" s="78"/>
      <c r="T23" s="75"/>
      <c r="U23" s="75"/>
      <c r="V23" s="75"/>
      <c r="W23" s="68"/>
      <c r="X23" s="132" t="s">
        <v>17</v>
      </c>
      <c r="Y23" s="155">
        <v>0.10040983606557377</v>
      </c>
      <c r="Z23" s="133">
        <v>147</v>
      </c>
    </row>
    <row r="24" spans="3:27" x14ac:dyDescent="0.15">
      <c r="N24" s="78"/>
      <c r="O24" s="63"/>
      <c r="P24" s="78"/>
      <c r="Q24" s="96" t="s">
        <v>121</v>
      </c>
      <c r="R24" s="157">
        <v>1465</v>
      </c>
      <c r="S24" s="78"/>
      <c r="T24" s="75"/>
      <c r="U24" s="75"/>
      <c r="V24" s="75"/>
      <c r="W24" s="68"/>
      <c r="X24" s="133" t="s">
        <v>18</v>
      </c>
      <c r="Y24" s="155">
        <v>9.2213114754098366E-2</v>
      </c>
      <c r="Z24" s="133">
        <v>135</v>
      </c>
    </row>
    <row r="25" spans="3:27" x14ac:dyDescent="0.15">
      <c r="N25" s="78"/>
      <c r="P25" s="78"/>
      <c r="R25" s="78"/>
      <c r="S25" s="78"/>
      <c r="T25" s="75"/>
      <c r="U25" s="75"/>
      <c r="V25" s="75"/>
      <c r="W25" s="68"/>
      <c r="X25" s="133" t="s">
        <v>43</v>
      </c>
      <c r="Y25" s="155">
        <v>5.1229508196721313E-2</v>
      </c>
      <c r="Z25" s="133">
        <v>75</v>
      </c>
    </row>
    <row r="26" spans="3:27" x14ac:dyDescent="0.15">
      <c r="P26" s="94"/>
      <c r="T26" s="75"/>
      <c r="U26" s="75"/>
      <c r="V26" s="75"/>
      <c r="W26" s="68"/>
      <c r="X26" s="63"/>
      <c r="Y26" s="156"/>
      <c r="Z26" s="157"/>
    </row>
    <row r="27" spans="3:27" x14ac:dyDescent="0.15">
      <c r="T27" s="75"/>
      <c r="U27" s="75"/>
      <c r="V27" s="75"/>
      <c r="W27" s="68">
        <v>4</v>
      </c>
      <c r="X27" s="68" t="s">
        <v>270</v>
      </c>
    </row>
    <row r="28" spans="3:27" x14ac:dyDescent="0.15">
      <c r="T28" s="75"/>
      <c r="U28" s="75"/>
      <c r="V28" s="75"/>
      <c r="W28" s="68"/>
      <c r="X28" s="154" t="s">
        <v>44</v>
      </c>
      <c r="Y28" s="154" t="s">
        <v>6</v>
      </c>
      <c r="Z28" s="240" t="s">
        <v>117</v>
      </c>
    </row>
    <row r="29" spans="3:27" x14ac:dyDescent="0.15">
      <c r="T29" s="75"/>
      <c r="U29" s="75"/>
      <c r="V29" s="75"/>
      <c r="W29" s="68"/>
      <c r="X29" s="132" t="s">
        <v>17</v>
      </c>
      <c r="Y29" s="155">
        <v>9.5628415300546443E-2</v>
      </c>
      <c r="Z29" s="133">
        <v>140</v>
      </c>
    </row>
    <row r="30" spans="3:27" x14ac:dyDescent="0.15">
      <c r="T30" s="75"/>
      <c r="U30" s="75"/>
      <c r="V30" s="75"/>
      <c r="W30" s="68"/>
      <c r="X30" s="133" t="s">
        <v>18</v>
      </c>
      <c r="Y30" s="155">
        <v>7.5819672131147542E-2</v>
      </c>
      <c r="Z30" s="133">
        <v>111</v>
      </c>
    </row>
    <row r="31" spans="3:27" x14ac:dyDescent="0.15">
      <c r="O31" s="304" t="s">
        <v>197</v>
      </c>
      <c r="P31" s="305" t="s">
        <v>6</v>
      </c>
      <c r="Q31" s="306" t="s">
        <v>117</v>
      </c>
      <c r="R31" s="400" t="s">
        <v>321</v>
      </c>
      <c r="U31" s="75"/>
      <c r="V31" s="75"/>
      <c r="W31" s="75"/>
      <c r="X31" s="68"/>
      <c r="Y31" s="133" t="s">
        <v>43</v>
      </c>
      <c r="Z31" s="155">
        <v>4.5081967213114756E-2</v>
      </c>
      <c r="AA31" s="133">
        <v>66</v>
      </c>
    </row>
    <row r="32" spans="3:27" x14ac:dyDescent="0.15">
      <c r="O32" s="303" t="s">
        <v>213</v>
      </c>
      <c r="P32" s="133">
        <v>0.30522765598650925</v>
      </c>
      <c r="Q32" s="272">
        <v>181</v>
      </c>
      <c r="R32" s="395">
        <v>1</v>
      </c>
      <c r="X32" s="68"/>
      <c r="Y32" s="63"/>
      <c r="Z32" s="156"/>
      <c r="AA32" s="157"/>
    </row>
    <row r="33" spans="6:27" x14ac:dyDescent="0.15">
      <c r="O33" s="303" t="s">
        <v>214</v>
      </c>
      <c r="P33" s="133">
        <v>1.0118043844856661E-2</v>
      </c>
      <c r="Q33" s="272">
        <v>6</v>
      </c>
      <c r="R33" s="272">
        <v>2</v>
      </c>
      <c r="X33" s="68">
        <v>5</v>
      </c>
      <c r="Y33" s="68" t="s">
        <v>271</v>
      </c>
    </row>
    <row r="34" spans="6:27" x14ac:dyDescent="0.15">
      <c r="O34" s="303" t="s">
        <v>215</v>
      </c>
      <c r="P34" s="133">
        <v>1.8549747048903879E-2</v>
      </c>
      <c r="Q34" s="272">
        <v>11</v>
      </c>
      <c r="R34" s="272">
        <v>3</v>
      </c>
      <c r="X34" s="68"/>
      <c r="Y34" s="154" t="s">
        <v>44</v>
      </c>
      <c r="Z34" s="154" t="s">
        <v>6</v>
      </c>
      <c r="AA34" s="240" t="s">
        <v>117</v>
      </c>
    </row>
    <row r="35" spans="6:27" x14ac:dyDescent="0.15">
      <c r="O35" s="303" t="s">
        <v>216</v>
      </c>
      <c r="P35" s="133">
        <v>5.0590219224283303E-3</v>
      </c>
      <c r="Q35" s="272">
        <v>3</v>
      </c>
      <c r="R35" s="272">
        <v>4</v>
      </c>
      <c r="X35" s="68"/>
      <c r="Y35" s="132" t="s">
        <v>17</v>
      </c>
      <c r="Z35" s="155">
        <v>6.2841530054644809E-2</v>
      </c>
      <c r="AA35" s="133">
        <v>92</v>
      </c>
    </row>
    <row r="36" spans="6:27" x14ac:dyDescent="0.15">
      <c r="F36" s="96" t="s">
        <v>121</v>
      </c>
      <c r="G36" s="97">
        <f>R24</f>
        <v>1465</v>
      </c>
      <c r="O36" s="303" t="s">
        <v>217</v>
      </c>
      <c r="P36" s="133">
        <v>0.19392917369308602</v>
      </c>
      <c r="Q36" s="272">
        <v>115</v>
      </c>
      <c r="R36" s="272">
        <v>5</v>
      </c>
      <c r="X36" s="68"/>
      <c r="Y36" s="133" t="s">
        <v>18</v>
      </c>
      <c r="Z36" s="155">
        <v>6.9672131147540978E-2</v>
      </c>
      <c r="AA36" s="133">
        <v>102</v>
      </c>
    </row>
    <row r="37" spans="6:27" x14ac:dyDescent="0.15">
      <c r="O37" s="303" t="s">
        <v>218</v>
      </c>
      <c r="P37" s="133">
        <v>0.24114671163575041</v>
      </c>
      <c r="Q37" s="272">
        <v>143</v>
      </c>
      <c r="R37" s="272">
        <v>6</v>
      </c>
      <c r="X37" s="68"/>
      <c r="Y37" s="133" t="s">
        <v>43</v>
      </c>
      <c r="Z37" s="155">
        <v>3.4153005464480878E-2</v>
      </c>
      <c r="AA37" s="133">
        <v>50</v>
      </c>
    </row>
    <row r="38" spans="6:27" x14ac:dyDescent="0.15">
      <c r="O38" s="303" t="s">
        <v>219</v>
      </c>
      <c r="P38" s="133">
        <v>7.7571669477234401E-2</v>
      </c>
      <c r="Q38" s="272">
        <v>46</v>
      </c>
      <c r="R38" s="272">
        <v>7</v>
      </c>
      <c r="X38" s="68"/>
      <c r="Y38" s="63"/>
      <c r="Z38" s="156"/>
      <c r="AA38" s="157"/>
    </row>
    <row r="39" spans="6:27" x14ac:dyDescent="0.15">
      <c r="O39" s="303" t="s">
        <v>43</v>
      </c>
      <c r="P39" s="133">
        <v>0.20236087689713322</v>
      </c>
      <c r="Q39" s="272">
        <v>120</v>
      </c>
      <c r="R39" s="272">
        <v>8</v>
      </c>
      <c r="X39" s="68">
        <v>6</v>
      </c>
      <c r="Y39" s="68" t="s">
        <v>272</v>
      </c>
    </row>
    <row r="40" spans="6:27" x14ac:dyDescent="0.15">
      <c r="O40" s="307" t="s">
        <v>0</v>
      </c>
      <c r="P40" s="295">
        <v>0.22934232715008432</v>
      </c>
      <c r="Q40" s="278">
        <v>136</v>
      </c>
      <c r="R40" s="278">
        <v>9</v>
      </c>
      <c r="X40" s="68"/>
      <c r="Y40" s="154" t="s">
        <v>44</v>
      </c>
      <c r="Z40" s="154" t="s">
        <v>6</v>
      </c>
      <c r="AA40" s="240" t="s">
        <v>117</v>
      </c>
    </row>
    <row r="41" spans="6:27" x14ac:dyDescent="0.15">
      <c r="W41" s="68"/>
      <c r="X41" s="132" t="s">
        <v>17</v>
      </c>
      <c r="Y41" s="155">
        <v>2.8688524590163935E-2</v>
      </c>
      <c r="Z41" s="133">
        <v>42</v>
      </c>
    </row>
    <row r="42" spans="6:27" x14ac:dyDescent="0.15">
      <c r="W42" s="68"/>
      <c r="X42" s="133" t="s">
        <v>18</v>
      </c>
      <c r="Y42" s="155">
        <v>2.1174863387978141E-2</v>
      </c>
      <c r="Z42" s="133">
        <v>31</v>
      </c>
    </row>
    <row r="43" spans="6:27" x14ac:dyDescent="0.15">
      <c r="W43" s="68"/>
      <c r="X43" s="133" t="s">
        <v>43</v>
      </c>
      <c r="Y43" s="155">
        <v>1.912568306010929E-2</v>
      </c>
      <c r="Z43" s="133">
        <v>28</v>
      </c>
    </row>
    <row r="45" spans="6:27" x14ac:dyDescent="0.15">
      <c r="P45" s="119" t="s">
        <v>122</v>
      </c>
      <c r="Q45" s="120">
        <v>593</v>
      </c>
    </row>
    <row r="56" spans="15:15" x14ac:dyDescent="0.15">
      <c r="O56" s="69" t="s">
        <v>107</v>
      </c>
    </row>
    <row r="57" spans="15:15" x14ac:dyDescent="0.15">
      <c r="O57" s="78" t="s">
        <v>108</v>
      </c>
    </row>
    <row r="58" spans="15:15" x14ac:dyDescent="0.15">
      <c r="O58" s="78" t="s">
        <v>109</v>
      </c>
    </row>
    <row r="59" spans="15:15" x14ac:dyDescent="0.15">
      <c r="O59" s="98" t="s">
        <v>110</v>
      </c>
    </row>
    <row r="60" spans="15:15" x14ac:dyDescent="0.15">
      <c r="O60" s="78" t="s">
        <v>111</v>
      </c>
    </row>
    <row r="61" spans="15:15" x14ac:dyDescent="0.15">
      <c r="O61" s="98" t="s">
        <v>112</v>
      </c>
    </row>
    <row r="62" spans="15:15" x14ac:dyDescent="0.15">
      <c r="O62" s="78" t="s">
        <v>113</v>
      </c>
    </row>
  </sheetData>
  <sheetProtection password="8E6E" sheet="1" objects="1" scenarios="1" selectLockedCells="1"/>
  <sortState ref="O19:R22">
    <sortCondition ref="P18:P21"/>
  </sortState>
  <mergeCells count="1">
    <mergeCell ref="A2:L2"/>
  </mergeCells>
  <dataValidations xWindow="522" yWindow="423" count="2">
    <dataValidation allowBlank="1" showErrorMessage="1" promptTitle="Student Year" prompt="Select a student year to see changes" sqref="I4:J4"/>
    <dataValidation type="list" allowBlank="1" showErrorMessage="1" promptTitle="Student Year" prompt="Click arrow to see prevention training reach by student year." sqref="F4">
      <formula1>$O$56:$O$62</formula1>
    </dataValidation>
  </dataValidations>
  <pageMargins left="0.5" right="0.5" top="0.5" bottom="0.5" header="0.1" footer="0.1"/>
  <pageSetup scale="63" orientation="landscape" r:id="rId1"/>
  <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49"/>
  <sheetViews>
    <sheetView showGridLines="0" showRowColHeaders="0" zoomScale="90" zoomScaleNormal="90" workbookViewId="0">
      <selection activeCell="A35" sqref="A35"/>
    </sheetView>
  </sheetViews>
  <sheetFormatPr defaultColWidth="9.875" defaultRowHeight="11.25" x14ac:dyDescent="0.15"/>
  <cols>
    <col min="1" max="1" width="23" style="62" customWidth="1"/>
    <col min="2" max="2" width="3.625" style="63" customWidth="1"/>
    <col min="3" max="3" width="43" style="64" customWidth="1"/>
    <col min="4" max="4" width="18.625" style="64" customWidth="1"/>
    <col min="5" max="12" width="9.875" style="64" customWidth="1"/>
    <col min="13" max="13" width="11" style="64" customWidth="1"/>
    <col min="14" max="14" width="9.875" style="64" customWidth="1"/>
    <col min="15" max="15" width="9.875" style="64" hidden="1" customWidth="1"/>
    <col min="16" max="16" width="73.375" style="64" hidden="1" customWidth="1"/>
    <col min="17" max="17" width="18.5" style="64" hidden="1" customWidth="1"/>
    <col min="18" max="18" width="24.25" style="64" hidden="1" customWidth="1"/>
    <col min="19" max="19" width="26.625" style="64" hidden="1" customWidth="1"/>
    <col min="20" max="20" width="13.625" style="71" hidden="1" customWidth="1"/>
    <col min="21" max="21" width="23.25" style="71" hidden="1" customWidth="1"/>
    <col min="22" max="22" width="12.375" style="71" hidden="1" customWidth="1"/>
    <col min="23" max="23" width="12.625" style="64" hidden="1" customWidth="1"/>
    <col min="24" max="25" width="12.375" style="71" hidden="1" customWidth="1"/>
    <col min="26" max="26" width="12.375" style="71" customWidth="1"/>
    <col min="27" max="16384" width="9.875" style="64"/>
  </cols>
  <sheetData>
    <row r="1" spans="1:26" ht="64.5" customHeight="1" thickBot="1" x14ac:dyDescent="0.2">
      <c r="A1" s="91"/>
      <c r="B1" s="91"/>
      <c r="C1" s="91"/>
      <c r="D1" s="91"/>
      <c r="E1" s="91"/>
      <c r="F1" s="91"/>
      <c r="G1" s="91"/>
      <c r="H1" s="91"/>
      <c r="I1" s="91"/>
      <c r="J1" s="91"/>
      <c r="K1" s="91"/>
      <c r="L1" s="92"/>
      <c r="M1" s="93" t="s">
        <v>1</v>
      </c>
    </row>
    <row r="2" spans="1:26" ht="18" customHeight="1" x14ac:dyDescent="0.15">
      <c r="A2" s="429" t="s">
        <v>198</v>
      </c>
      <c r="B2" s="429"/>
      <c r="C2" s="429"/>
      <c r="D2" s="429"/>
      <c r="E2" s="429"/>
      <c r="F2" s="429"/>
      <c r="G2" s="429"/>
      <c r="H2" s="429"/>
      <c r="I2" s="429"/>
      <c r="J2" s="429"/>
      <c r="K2" s="429"/>
      <c r="L2" s="429"/>
      <c r="M2" s="429"/>
      <c r="P2" s="68"/>
      <c r="Q2" s="68"/>
      <c r="R2" s="68"/>
    </row>
    <row r="3" spans="1:26" ht="15" customHeight="1" x14ac:dyDescent="0.15">
      <c r="O3" s="63"/>
      <c r="P3" s="65"/>
      <c r="Q3" s="66"/>
      <c r="R3" s="66"/>
      <c r="S3" s="63"/>
      <c r="T3" s="67"/>
      <c r="U3" s="67"/>
      <c r="V3" s="67"/>
      <c r="X3" s="67"/>
      <c r="Y3" s="67"/>
      <c r="Z3" s="67"/>
    </row>
    <row r="4" spans="1:26" ht="15.75" customHeight="1" x14ac:dyDescent="0.15">
      <c r="A4" s="25"/>
      <c r="O4" s="63"/>
      <c r="P4" s="312" t="s">
        <v>54</v>
      </c>
      <c r="Q4" s="313" t="s">
        <v>128</v>
      </c>
      <c r="R4" s="314" t="s">
        <v>129</v>
      </c>
      <c r="S4" s="314" t="s">
        <v>130</v>
      </c>
      <c r="T4" s="314" t="s">
        <v>126</v>
      </c>
      <c r="U4" s="314" t="s">
        <v>188</v>
      </c>
      <c r="V4" s="315" t="s">
        <v>189</v>
      </c>
      <c r="W4" s="293" t="s">
        <v>185</v>
      </c>
      <c r="Y4" s="67"/>
      <c r="Z4" s="67"/>
    </row>
    <row r="5" spans="1:26" ht="15.75" customHeight="1" x14ac:dyDescent="0.15">
      <c r="D5" s="72"/>
      <c r="E5" s="72"/>
      <c r="F5" s="72"/>
      <c r="G5" s="72"/>
      <c r="H5" s="72"/>
      <c r="J5" s="72"/>
      <c r="K5" s="72"/>
      <c r="L5" s="72"/>
      <c r="M5" s="72"/>
      <c r="O5" s="63"/>
      <c r="P5" s="308" t="s">
        <v>196</v>
      </c>
      <c r="Q5" s="134">
        <v>10</v>
      </c>
      <c r="R5" s="134">
        <v>6</v>
      </c>
      <c r="S5" s="134">
        <v>16</v>
      </c>
      <c r="T5" s="135">
        <v>18</v>
      </c>
      <c r="U5" s="136">
        <v>0.47058823529411764</v>
      </c>
      <c r="V5" s="136">
        <v>0.52941176470588236</v>
      </c>
      <c r="W5" s="292">
        <v>34</v>
      </c>
      <c r="Y5" s="73"/>
      <c r="Z5" s="73"/>
    </row>
    <row r="6" spans="1:26" ht="15.75" customHeight="1" x14ac:dyDescent="0.15">
      <c r="A6" s="24"/>
      <c r="B6" s="74"/>
      <c r="D6" s="72"/>
      <c r="E6" s="72"/>
      <c r="F6" s="72"/>
      <c r="G6" s="72"/>
      <c r="H6" s="72"/>
      <c r="I6" s="72"/>
      <c r="J6" s="72"/>
      <c r="K6" s="72"/>
      <c r="L6" s="72"/>
      <c r="M6" s="72"/>
      <c r="O6" s="63"/>
      <c r="P6" s="310" t="s">
        <v>195</v>
      </c>
      <c r="Q6" s="134">
        <v>10</v>
      </c>
      <c r="R6" s="134">
        <v>8</v>
      </c>
      <c r="S6" s="134">
        <v>18</v>
      </c>
      <c r="T6" s="135">
        <v>19</v>
      </c>
      <c r="U6" s="136">
        <v>0.48648648648648651</v>
      </c>
      <c r="V6" s="136">
        <v>0.51351351351351349</v>
      </c>
      <c r="W6" s="292">
        <v>37</v>
      </c>
      <c r="X6" s="73"/>
      <c r="Y6" s="73"/>
      <c r="Z6" s="73"/>
    </row>
    <row r="7" spans="1:26" ht="15.75" customHeight="1" x14ac:dyDescent="0.15">
      <c r="A7" s="25"/>
      <c r="D7" s="76"/>
      <c r="E7" s="77"/>
      <c r="F7" s="77"/>
      <c r="G7" s="77"/>
      <c r="H7" s="77"/>
      <c r="I7" s="77"/>
      <c r="J7" s="77"/>
      <c r="K7" s="77"/>
      <c r="L7" s="77"/>
      <c r="M7" s="77"/>
      <c r="O7" s="63"/>
      <c r="P7" s="309" t="s">
        <v>3</v>
      </c>
      <c r="Q7" s="134">
        <v>14</v>
      </c>
      <c r="R7" s="135">
        <v>6</v>
      </c>
      <c r="S7" s="134">
        <v>20</v>
      </c>
      <c r="T7" s="135">
        <v>23</v>
      </c>
      <c r="U7" s="136">
        <v>0.46511627906976744</v>
      </c>
      <c r="V7" s="136">
        <v>0.53488372093023251</v>
      </c>
      <c r="W7" s="292">
        <v>43</v>
      </c>
      <c r="X7" s="73"/>
      <c r="Y7" s="73"/>
      <c r="Z7" s="73"/>
    </row>
    <row r="8" spans="1:26" ht="15.75" customHeight="1" x14ac:dyDescent="0.15">
      <c r="A8" s="29"/>
      <c r="D8" s="79"/>
      <c r="O8" s="63"/>
      <c r="P8" s="311" t="s">
        <v>4</v>
      </c>
      <c r="Q8" s="134">
        <v>15</v>
      </c>
      <c r="R8" s="134">
        <v>6</v>
      </c>
      <c r="S8" s="134">
        <v>21</v>
      </c>
      <c r="T8" s="135">
        <v>22</v>
      </c>
      <c r="U8" s="136">
        <v>0.48837209302325579</v>
      </c>
      <c r="V8" s="136">
        <v>0.51162790697674421</v>
      </c>
      <c r="W8" s="292">
        <v>43</v>
      </c>
      <c r="X8" s="73"/>
      <c r="Y8" s="73"/>
      <c r="Z8" s="73"/>
    </row>
    <row r="9" spans="1:26" s="75" customFormat="1" ht="15.75" customHeight="1" x14ac:dyDescent="0.15">
      <c r="A9" s="27"/>
      <c r="B9" s="80"/>
      <c r="D9" s="81"/>
      <c r="O9" s="63"/>
      <c r="P9" s="316" t="s">
        <v>5</v>
      </c>
      <c r="Q9" s="317">
        <v>30</v>
      </c>
      <c r="R9" s="318">
        <v>18</v>
      </c>
      <c r="S9" s="317">
        <v>48</v>
      </c>
      <c r="T9" s="318">
        <v>14</v>
      </c>
      <c r="U9" s="319">
        <v>0.77419354838709675</v>
      </c>
      <c r="V9" s="319">
        <v>0.22580645161290322</v>
      </c>
      <c r="W9" s="296">
        <v>62</v>
      </c>
      <c r="X9" s="82"/>
      <c r="Y9" s="82"/>
      <c r="Z9" s="82"/>
    </row>
    <row r="10" spans="1:26" s="75" customFormat="1" ht="15.75" customHeight="1" x14ac:dyDescent="0.15">
      <c r="A10" s="83"/>
      <c r="B10" s="80"/>
      <c r="D10" s="81"/>
      <c r="O10" s="63"/>
      <c r="X10" s="84"/>
      <c r="Y10" s="84"/>
      <c r="Z10" s="84"/>
    </row>
    <row r="11" spans="1:26" s="75" customFormat="1" ht="15.75" customHeight="1" x14ac:dyDescent="0.15">
      <c r="A11" s="83"/>
      <c r="B11" s="80"/>
      <c r="O11" s="63"/>
      <c r="Q11" s="81"/>
      <c r="R11" s="81"/>
      <c r="S11" s="80"/>
      <c r="T11" s="84"/>
      <c r="U11" s="84"/>
      <c r="V11" s="96" t="s">
        <v>186</v>
      </c>
      <c r="W11" s="97">
        <v>43.8</v>
      </c>
      <c r="X11" s="84"/>
      <c r="Y11" s="84"/>
      <c r="Z11" s="84"/>
    </row>
    <row r="12" spans="1:26" s="75" customFormat="1" ht="15.75" customHeight="1" x14ac:dyDescent="0.15">
      <c r="A12" s="83"/>
      <c r="B12" s="80"/>
      <c r="O12" s="63"/>
      <c r="T12" s="84"/>
      <c r="V12"/>
      <c r="W12"/>
      <c r="X12" s="84"/>
      <c r="Y12" s="84"/>
      <c r="Z12" s="84"/>
    </row>
    <row r="13" spans="1:26" s="75" customFormat="1" ht="15.75" customHeight="1" x14ac:dyDescent="0.15">
      <c r="A13" s="83"/>
      <c r="B13" s="80"/>
      <c r="O13" s="63"/>
      <c r="P13" s="167" t="s">
        <v>187</v>
      </c>
      <c r="Q13" s="75" t="str">
        <f>D20</f>
        <v>All Students</v>
      </c>
      <c r="R13" s="75">
        <f>VLOOKUP(Q13,P20:Q22,2,0)</f>
        <v>3</v>
      </c>
      <c r="S13" s="85"/>
      <c r="T13" s="84"/>
      <c r="U13" s="84"/>
      <c r="V13" s="84"/>
      <c r="W13" s="80"/>
      <c r="X13" s="84"/>
      <c r="Y13" s="84"/>
      <c r="Z13" s="84"/>
    </row>
    <row r="14" spans="1:26" s="75" customFormat="1" ht="15.75" customHeight="1" x14ac:dyDescent="0.15">
      <c r="A14" s="83"/>
      <c r="B14" s="80"/>
      <c r="O14" s="63"/>
      <c r="P14" s="243" t="s">
        <v>55</v>
      </c>
      <c r="Q14" s="245" t="s">
        <v>6</v>
      </c>
      <c r="R14" s="245" t="s">
        <v>117</v>
      </c>
      <c r="S14" s="84"/>
      <c r="T14" s="84"/>
      <c r="U14" s="84"/>
      <c r="V14" s="84"/>
      <c r="W14" s="80"/>
      <c r="X14" s="84"/>
      <c r="Y14" s="84"/>
      <c r="Z14" s="84"/>
    </row>
    <row r="15" spans="1:26" ht="17.25" customHeight="1" x14ac:dyDescent="0.15">
      <c r="P15" s="132" t="s">
        <v>17</v>
      </c>
      <c r="Q15" s="146">
        <f>R15/R18</f>
        <v>0.3497191011235955</v>
      </c>
      <c r="R15" s="132">
        <f>IF($R$13=1, R35, IF($R$13=2, R41, IF($R$13=3, R47,"")))</f>
        <v>498</v>
      </c>
      <c r="S15" s="75"/>
      <c r="T15" s="84"/>
      <c r="U15" s="84"/>
      <c r="V15" s="84"/>
      <c r="W15" s="80"/>
      <c r="X15" s="67"/>
      <c r="Y15" s="67"/>
      <c r="Z15" s="67"/>
    </row>
    <row r="16" spans="1:26" ht="15" customHeight="1" x14ac:dyDescent="0.15">
      <c r="P16" s="131" t="s">
        <v>18</v>
      </c>
      <c r="Q16" s="146">
        <f>R16/R18</f>
        <v>0.6264044943820225</v>
      </c>
      <c r="R16" s="132">
        <f t="shared" ref="R16:R17" si="0">IF($R$13=1, R36, IF($R$13=2, R42, IF($R$13=3, R48,"")))</f>
        <v>892</v>
      </c>
      <c r="S16" s="75"/>
      <c r="T16" s="67"/>
      <c r="U16" s="67"/>
      <c r="V16" s="67"/>
      <c r="W16" s="63"/>
      <c r="X16" s="67"/>
      <c r="Y16" s="67"/>
      <c r="Z16" s="67"/>
    </row>
    <row r="17" spans="4:29" ht="13.5" customHeight="1" x14ac:dyDescent="0.15">
      <c r="P17" s="131" t="s">
        <v>2</v>
      </c>
      <c r="Q17" s="146">
        <f>R17/R18</f>
        <v>2.3876404494382022E-2</v>
      </c>
      <c r="R17" s="132">
        <f t="shared" si="0"/>
        <v>34</v>
      </c>
      <c r="S17" s="75"/>
      <c r="T17" s="67"/>
      <c r="U17" s="67"/>
      <c r="V17" s="67"/>
      <c r="W17" s="63"/>
      <c r="X17" s="67"/>
      <c r="Y17" s="67"/>
      <c r="Z17" s="67"/>
      <c r="AA17" s="63"/>
      <c r="AB17" s="63"/>
      <c r="AC17" s="63"/>
    </row>
    <row r="18" spans="4:29" ht="15.75" customHeight="1" x14ac:dyDescent="0.15">
      <c r="Q18" s="168" t="s">
        <v>122</v>
      </c>
      <c r="R18" s="169">
        <f>SUM(R15:R17)</f>
        <v>1424</v>
      </c>
      <c r="S18" s="63"/>
      <c r="T18" s="67"/>
      <c r="U18" s="67"/>
      <c r="V18" s="67"/>
      <c r="W18" s="63"/>
      <c r="X18" s="70"/>
      <c r="Y18" s="70"/>
      <c r="Z18" s="70"/>
      <c r="AA18" s="69"/>
      <c r="AB18" s="69"/>
      <c r="AC18" s="63"/>
    </row>
    <row r="19" spans="4:29" ht="29.25" customHeight="1" x14ac:dyDescent="0.15">
      <c r="L19" s="96" t="s">
        <v>121</v>
      </c>
      <c r="M19" s="100">
        <f>W11</f>
        <v>43.8</v>
      </c>
      <c r="P19" s="68" t="s">
        <v>124</v>
      </c>
      <c r="Q19" s="66"/>
      <c r="S19" s="63"/>
      <c r="T19" s="70"/>
      <c r="U19" s="70"/>
      <c r="V19" s="70"/>
      <c r="W19" s="69"/>
      <c r="X19" s="87"/>
      <c r="Y19" s="87"/>
      <c r="Z19" s="87"/>
      <c r="AA19" s="78"/>
      <c r="AB19" s="78"/>
      <c r="AC19" s="63"/>
    </row>
    <row r="20" spans="4:29" ht="18.75" customHeight="1" x14ac:dyDescent="0.15">
      <c r="D20" s="61" t="s">
        <v>114</v>
      </c>
      <c r="E20" s="96" t="s">
        <v>122</v>
      </c>
      <c r="F20" s="97">
        <f>R18</f>
        <v>1424</v>
      </c>
      <c r="P20" s="64" t="s">
        <v>114</v>
      </c>
      <c r="Q20" s="73">
        <v>3</v>
      </c>
      <c r="R20" s="66"/>
      <c r="S20" s="69"/>
      <c r="T20" s="87"/>
      <c r="U20" s="87"/>
      <c r="V20" s="87"/>
      <c r="W20" s="78"/>
      <c r="X20" s="87"/>
      <c r="Y20" s="87"/>
      <c r="Z20" s="87"/>
      <c r="AA20" s="78"/>
      <c r="AB20" s="78"/>
      <c r="AC20" s="63"/>
    </row>
    <row r="21" spans="4:29" x14ac:dyDescent="0.15">
      <c r="P21" s="75" t="s">
        <v>27</v>
      </c>
      <c r="Q21" s="73">
        <v>2</v>
      </c>
      <c r="R21" s="66"/>
      <c r="S21" s="78"/>
      <c r="T21" s="87"/>
      <c r="U21" s="87"/>
      <c r="V21" s="87"/>
      <c r="W21" s="78"/>
      <c r="X21" s="87"/>
      <c r="Y21" s="87"/>
      <c r="Z21" s="87"/>
      <c r="AA21" s="78"/>
      <c r="AB21" s="78"/>
      <c r="AC21" s="63"/>
    </row>
    <row r="22" spans="4:29" x14ac:dyDescent="0.15">
      <c r="P22" s="64" t="s">
        <v>14</v>
      </c>
      <c r="Q22" s="73">
        <v>1</v>
      </c>
      <c r="R22" s="66"/>
      <c r="S22" s="78"/>
      <c r="T22" s="87"/>
      <c r="U22" s="87"/>
      <c r="V22" s="87"/>
      <c r="W22" s="78"/>
      <c r="X22" s="87"/>
      <c r="Y22" s="87"/>
      <c r="Z22" s="87"/>
      <c r="AA22" s="78"/>
      <c r="AB22" s="78"/>
      <c r="AC22" s="63"/>
    </row>
    <row r="23" spans="4:29" x14ac:dyDescent="0.15">
      <c r="P23" s="63"/>
      <c r="Q23" s="78"/>
      <c r="R23" s="78"/>
      <c r="S23" s="78"/>
      <c r="T23" s="87"/>
      <c r="U23" s="87"/>
      <c r="V23" s="87"/>
      <c r="W23" s="78"/>
      <c r="X23" s="87"/>
      <c r="Y23" s="87"/>
      <c r="Z23" s="87"/>
      <c r="AA23" s="78"/>
      <c r="AB23" s="78"/>
      <c r="AC23" s="63"/>
    </row>
    <row r="24" spans="4:29" x14ac:dyDescent="0.15">
      <c r="O24" s="78"/>
      <c r="P24" s="78"/>
      <c r="Q24" s="78"/>
      <c r="R24" s="78"/>
      <c r="AA24" s="78"/>
      <c r="AB24" s="78"/>
      <c r="AC24" s="63"/>
    </row>
    <row r="25" spans="4:29" x14ac:dyDescent="0.15">
      <c r="O25" s="78"/>
      <c r="P25" s="69" t="s">
        <v>254</v>
      </c>
      <c r="Q25" s="78"/>
      <c r="R25" s="78"/>
      <c r="AA25" s="78"/>
      <c r="AB25" s="78"/>
      <c r="AC25" s="63"/>
    </row>
    <row r="26" spans="4:29" x14ac:dyDescent="0.15">
      <c r="O26" s="78"/>
      <c r="P26" s="154" t="s">
        <v>54</v>
      </c>
      <c r="Q26" s="165" t="s">
        <v>6</v>
      </c>
      <c r="R26" s="166" t="s">
        <v>117</v>
      </c>
      <c r="AA26" s="78"/>
      <c r="AB26" s="78"/>
      <c r="AC26" s="63"/>
    </row>
    <row r="27" spans="4:29" x14ac:dyDescent="0.15">
      <c r="P27" s="237" t="s">
        <v>17</v>
      </c>
      <c r="Q27" s="136">
        <v>4.0502793296089384E-2</v>
      </c>
      <c r="R27" s="134">
        <v>58</v>
      </c>
      <c r="T27" s="360" t="s">
        <v>122</v>
      </c>
      <c r="U27" s="360">
        <v>1432</v>
      </c>
      <c r="W27" s="361" t="s">
        <v>322</v>
      </c>
    </row>
    <row r="28" spans="4:29" x14ac:dyDescent="0.15">
      <c r="P28" s="238" t="s">
        <v>18</v>
      </c>
      <c r="Q28" s="136">
        <v>0.94622905027932958</v>
      </c>
      <c r="R28" s="134">
        <v>1355</v>
      </c>
    </row>
    <row r="29" spans="4:29" x14ac:dyDescent="0.15">
      <c r="P29" s="237" t="s">
        <v>2</v>
      </c>
      <c r="Q29" s="136">
        <v>1.3268156424581005E-2</v>
      </c>
      <c r="R29" s="134">
        <v>19</v>
      </c>
    </row>
    <row r="30" spans="4:29" x14ac:dyDescent="0.15">
      <c r="Q30" s="96" t="s">
        <v>122</v>
      </c>
      <c r="R30" s="169">
        <v>1432</v>
      </c>
    </row>
    <row r="33" spans="15:18" x14ac:dyDescent="0.15">
      <c r="O33" s="64">
        <v>1</v>
      </c>
      <c r="P33" s="69" t="s">
        <v>273</v>
      </c>
    </row>
    <row r="34" spans="15:18" x14ac:dyDescent="0.15">
      <c r="P34" s="154" t="s">
        <v>55</v>
      </c>
      <c r="Q34" s="165" t="s">
        <v>6</v>
      </c>
      <c r="R34" s="165" t="s">
        <v>117</v>
      </c>
    </row>
    <row r="35" spans="15:18" x14ac:dyDescent="0.15">
      <c r="P35" s="132" t="s">
        <v>17</v>
      </c>
      <c r="Q35" s="146">
        <v>0.29634831460674155</v>
      </c>
      <c r="R35" s="132">
        <v>422</v>
      </c>
    </row>
    <row r="36" spans="15:18" x14ac:dyDescent="0.15">
      <c r="P36" s="131" t="s">
        <v>18</v>
      </c>
      <c r="Q36" s="146">
        <v>0.3553370786516854</v>
      </c>
      <c r="R36" s="132">
        <v>506</v>
      </c>
    </row>
    <row r="37" spans="15:18" x14ac:dyDescent="0.15">
      <c r="P37" s="131" t="s">
        <v>2</v>
      </c>
      <c r="Q37" s="146">
        <v>1.75561797752809E-2</v>
      </c>
      <c r="R37" s="132">
        <v>25</v>
      </c>
    </row>
    <row r="39" spans="15:18" x14ac:dyDescent="0.15">
      <c r="O39" s="64">
        <v>2</v>
      </c>
      <c r="P39" s="69" t="s">
        <v>274</v>
      </c>
    </row>
    <row r="40" spans="15:18" x14ac:dyDescent="0.15">
      <c r="P40" s="154" t="s">
        <v>55</v>
      </c>
      <c r="Q40" s="165" t="s">
        <v>6</v>
      </c>
      <c r="R40" s="165" t="s">
        <v>117</v>
      </c>
    </row>
    <row r="41" spans="15:18" x14ac:dyDescent="0.15">
      <c r="P41" s="132" t="s">
        <v>17</v>
      </c>
      <c r="Q41" s="146">
        <v>4.002808988764045E-2</v>
      </c>
      <c r="R41" s="132">
        <v>57</v>
      </c>
    </row>
    <row r="42" spans="15:18" x14ac:dyDescent="0.15">
      <c r="P42" s="131" t="s">
        <v>18</v>
      </c>
      <c r="Q42" s="146">
        <v>0.26053370786516855</v>
      </c>
      <c r="R42" s="132">
        <v>371</v>
      </c>
    </row>
    <row r="43" spans="15:18" x14ac:dyDescent="0.15">
      <c r="P43" s="131" t="s">
        <v>2</v>
      </c>
      <c r="Q43" s="146">
        <v>5.6179775280898875E-3</v>
      </c>
      <c r="R43" s="132">
        <v>8</v>
      </c>
    </row>
    <row r="45" spans="15:18" x14ac:dyDescent="0.15">
      <c r="O45" s="64">
        <v>3</v>
      </c>
      <c r="P45" s="69" t="s">
        <v>275</v>
      </c>
      <c r="Q45" s="78"/>
      <c r="R45" s="78"/>
    </row>
    <row r="46" spans="15:18" x14ac:dyDescent="0.15">
      <c r="P46" s="154" t="s">
        <v>55</v>
      </c>
      <c r="Q46" s="165" t="s">
        <v>6</v>
      </c>
      <c r="R46" s="165" t="s">
        <v>117</v>
      </c>
    </row>
    <row r="47" spans="15:18" x14ac:dyDescent="0.15">
      <c r="P47" s="132" t="s">
        <v>17</v>
      </c>
      <c r="Q47" s="146">
        <v>0.3497191011235955</v>
      </c>
      <c r="R47" s="132">
        <v>498</v>
      </c>
    </row>
    <row r="48" spans="15:18" x14ac:dyDescent="0.15">
      <c r="P48" s="131" t="s">
        <v>18</v>
      </c>
      <c r="Q48" s="146">
        <v>0.6264044943820225</v>
      </c>
      <c r="R48" s="132">
        <v>892</v>
      </c>
    </row>
    <row r="49" spans="16:18" x14ac:dyDescent="0.15">
      <c r="P49" s="131" t="s">
        <v>2</v>
      </c>
      <c r="Q49" s="146">
        <v>2.3876404494382022E-2</v>
      </c>
      <c r="R49" s="132">
        <v>34</v>
      </c>
    </row>
  </sheetData>
  <sheetProtection password="8E6E" sheet="1" objects="1" scenarios="1" selectLockedCells="1" autoFilter="0" pivotTables="0"/>
  <sortState ref="P5:X9">
    <sortCondition ref="U5:U9"/>
  </sortState>
  <mergeCells count="1">
    <mergeCell ref="A2:M2"/>
  </mergeCells>
  <dataValidations xWindow="42" yWindow="620" count="1">
    <dataValidation type="list" allowBlank="1" showErrorMessage="1" prompt="Click arrow to see results by female and male. Counts were too low to display in the other gender categories." sqref="D20">
      <formula1>$P$20:$P$22</formula1>
    </dataValidation>
  </dataValidations>
  <pageMargins left="0.5" right="0.5" top="0.5" bottom="0.5" header="0.1" footer="0.1"/>
  <pageSetup scale="6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37"/>
  <sheetViews>
    <sheetView showGridLines="0" showRowColHeaders="0" zoomScale="90" zoomScaleNormal="90" workbookViewId="0">
      <selection activeCell="A35" sqref="A35"/>
    </sheetView>
  </sheetViews>
  <sheetFormatPr defaultColWidth="9.875" defaultRowHeight="11.25" x14ac:dyDescent="0.15"/>
  <cols>
    <col min="1" max="1" width="23" style="19" customWidth="1"/>
    <col min="2" max="2" width="3.625" style="4" customWidth="1"/>
    <col min="3" max="3" width="3" style="2" customWidth="1"/>
    <col min="4" max="4" width="16.375" style="2" customWidth="1"/>
    <col min="5" max="5" width="10.125" style="2" customWidth="1"/>
    <col min="6" max="6" width="29" style="2" customWidth="1"/>
    <col min="7" max="8" width="8.625" style="2" customWidth="1"/>
    <col min="9" max="9" width="7.75" style="2" customWidth="1"/>
    <col min="10" max="10" width="10.125" style="2" customWidth="1"/>
    <col min="11" max="11" width="22.625" style="2" customWidth="1"/>
    <col min="12" max="12" width="8.625" style="2" customWidth="1"/>
    <col min="13" max="13" width="11" style="2" customWidth="1"/>
    <col min="14" max="14" width="6.75" style="2" customWidth="1"/>
    <col min="15" max="15" width="32.5" style="2" customWidth="1"/>
    <col min="16" max="16" width="16.375" style="2" customWidth="1"/>
    <col min="17" max="17" width="9.875" style="2" hidden="1" customWidth="1"/>
    <col min="18" max="18" width="73" style="2" hidden="1" customWidth="1"/>
    <col min="19" max="20" width="18.5" style="2" hidden="1" customWidth="1"/>
    <col min="21" max="21" width="12.375" style="2" hidden="1" customWidth="1"/>
    <col min="22" max="22" width="13.875" style="2" hidden="1" customWidth="1"/>
    <col min="23" max="23" width="13" style="2" hidden="1" customWidth="1"/>
    <col min="24" max="25" width="0" style="2" hidden="1" customWidth="1"/>
    <col min="26" max="16384" width="9.875" style="2"/>
  </cols>
  <sheetData>
    <row r="1" spans="1:23" ht="64.5" customHeight="1" thickBot="1" x14ac:dyDescent="0.2">
      <c r="A1" s="5"/>
      <c r="B1" s="5"/>
      <c r="C1" s="5"/>
      <c r="D1" s="5"/>
      <c r="E1" s="5"/>
      <c r="F1" s="5"/>
      <c r="G1" s="5"/>
      <c r="H1" s="5"/>
      <c r="I1" s="5"/>
      <c r="J1" s="5"/>
      <c r="K1" s="5"/>
      <c r="L1" s="5"/>
      <c r="M1" s="8"/>
      <c r="N1" s="8"/>
      <c r="O1" s="9" t="s">
        <v>1</v>
      </c>
    </row>
    <row r="2" spans="1:23" ht="18" customHeight="1" x14ac:dyDescent="0.15">
      <c r="A2" s="428" t="s">
        <v>73</v>
      </c>
      <c r="B2" s="428"/>
      <c r="C2" s="428"/>
      <c r="D2" s="428"/>
      <c r="E2" s="428"/>
      <c r="F2" s="428"/>
      <c r="G2" s="428"/>
      <c r="H2" s="428"/>
      <c r="I2" s="428"/>
      <c r="J2" s="428"/>
      <c r="K2" s="428"/>
      <c r="L2" s="428"/>
      <c r="M2" s="428"/>
      <c r="N2" s="428"/>
      <c r="O2" s="428"/>
      <c r="S2" s="11"/>
      <c r="T2" s="11"/>
      <c r="U2" s="4"/>
      <c r="V2" s="4"/>
    </row>
    <row r="3" spans="1:23" ht="15" customHeight="1" x14ac:dyDescent="0.15">
      <c r="Q3" s="4"/>
      <c r="R3" s="323" t="s">
        <v>56</v>
      </c>
      <c r="S3" s="324" t="s">
        <v>17</v>
      </c>
      <c r="T3" s="325" t="s">
        <v>131</v>
      </c>
      <c r="U3" s="326" t="s">
        <v>133</v>
      </c>
      <c r="V3" s="326" t="s">
        <v>132</v>
      </c>
      <c r="W3" s="327" t="s">
        <v>185</v>
      </c>
    </row>
    <row r="4" spans="1:23" x14ac:dyDescent="0.15">
      <c r="A4" s="25"/>
      <c r="F4" s="23"/>
      <c r="G4" s="23"/>
      <c r="H4" s="23"/>
      <c r="I4" s="30"/>
      <c r="J4" s="31"/>
      <c r="Q4" s="4"/>
      <c r="R4" s="321" t="s">
        <v>58</v>
      </c>
      <c r="S4" s="138">
        <v>0.15873015873015872</v>
      </c>
      <c r="T4" s="139">
        <v>10</v>
      </c>
      <c r="U4" s="138">
        <v>9.5238095238095233E-2</v>
      </c>
      <c r="V4" s="139">
        <v>6</v>
      </c>
      <c r="W4" s="322">
        <v>63</v>
      </c>
    </row>
    <row r="5" spans="1:23" ht="22.5" x14ac:dyDescent="0.15">
      <c r="F5" s="35"/>
      <c r="G5" s="35"/>
      <c r="H5" s="35"/>
      <c r="I5" s="32"/>
      <c r="J5" s="33"/>
      <c r="Q5" s="4"/>
      <c r="R5" s="320" t="s">
        <v>242</v>
      </c>
      <c r="S5" s="138">
        <v>0.22222222222222221</v>
      </c>
      <c r="T5" s="139">
        <v>14</v>
      </c>
      <c r="U5" s="138">
        <v>7.9365079365079361E-2</v>
      </c>
      <c r="V5" s="139">
        <v>5</v>
      </c>
      <c r="W5" s="322">
        <v>63</v>
      </c>
    </row>
    <row r="6" spans="1:23" x14ac:dyDescent="0.15">
      <c r="A6" s="24"/>
      <c r="B6" s="18"/>
      <c r="F6" s="35"/>
      <c r="G6" s="35"/>
      <c r="H6" s="35"/>
      <c r="I6" s="34"/>
      <c r="J6" s="33"/>
      <c r="Q6" s="4"/>
      <c r="R6" s="321" t="s">
        <v>59</v>
      </c>
      <c r="S6" s="138">
        <v>0.23809523809523808</v>
      </c>
      <c r="T6" s="139">
        <v>15</v>
      </c>
      <c r="U6" s="138">
        <v>4.7619047619047616E-2</v>
      </c>
      <c r="V6" s="139">
        <v>3</v>
      </c>
      <c r="W6" s="322">
        <v>63</v>
      </c>
    </row>
    <row r="7" spans="1:23" ht="33.75" x14ac:dyDescent="0.15">
      <c r="A7" s="25"/>
      <c r="F7" s="35"/>
      <c r="G7" s="35"/>
      <c r="H7" s="35"/>
      <c r="I7" s="34"/>
      <c r="J7" s="34"/>
      <c r="Q7" s="4"/>
      <c r="R7" s="320" t="s">
        <v>241</v>
      </c>
      <c r="S7" s="138">
        <v>0.34375</v>
      </c>
      <c r="T7" s="139">
        <v>22</v>
      </c>
      <c r="U7" s="138">
        <v>0.109375</v>
      </c>
      <c r="V7" s="139">
        <v>7</v>
      </c>
      <c r="W7" s="322">
        <v>64</v>
      </c>
    </row>
    <row r="8" spans="1:23" x14ac:dyDescent="0.15">
      <c r="A8" s="29"/>
      <c r="F8" s="36"/>
      <c r="G8" s="36"/>
      <c r="H8" s="36"/>
      <c r="I8" s="34"/>
      <c r="J8" s="33"/>
      <c r="Q8" s="4"/>
      <c r="R8" s="321" t="s">
        <v>57</v>
      </c>
      <c r="S8" s="138">
        <v>0.3968253968253968</v>
      </c>
      <c r="T8" s="139">
        <v>25</v>
      </c>
      <c r="U8" s="138">
        <v>0.14285714285714285</v>
      </c>
      <c r="V8" s="139">
        <v>9</v>
      </c>
      <c r="W8" s="322">
        <v>63</v>
      </c>
    </row>
    <row r="9" spans="1:23" s="3" customFormat="1" ht="22.5" x14ac:dyDescent="0.15">
      <c r="A9" s="27"/>
      <c r="B9" s="1"/>
      <c r="D9" s="11"/>
      <c r="Q9" s="4"/>
      <c r="R9" s="320" t="s">
        <v>240</v>
      </c>
      <c r="S9" s="138">
        <v>0.44615384615384618</v>
      </c>
      <c r="T9" s="139">
        <v>29</v>
      </c>
      <c r="U9" s="138">
        <v>0.12307692307692308</v>
      </c>
      <c r="V9" s="139">
        <v>8</v>
      </c>
      <c r="W9" s="322">
        <v>65</v>
      </c>
    </row>
    <row r="10" spans="1:23" s="3" customFormat="1" ht="15.75" customHeight="1" x14ac:dyDescent="0.15">
      <c r="A10" s="20"/>
      <c r="B10" s="1"/>
      <c r="D10" s="11"/>
      <c r="Q10" s="4"/>
      <c r="R10" s="328" t="s">
        <v>239</v>
      </c>
      <c r="S10" s="329">
        <v>0.609375</v>
      </c>
      <c r="T10" s="330">
        <v>39</v>
      </c>
      <c r="U10" s="329">
        <v>0.125</v>
      </c>
      <c r="V10" s="330">
        <v>8</v>
      </c>
      <c r="W10" s="331">
        <v>64</v>
      </c>
    </row>
    <row r="11" spans="1:23" s="3" customFormat="1" ht="15.75" customHeight="1" x14ac:dyDescent="0.15">
      <c r="A11" s="20"/>
      <c r="B11" s="1"/>
      <c r="C11"/>
      <c r="Q11" s="4"/>
    </row>
    <row r="12" spans="1:23" s="3" customFormat="1" ht="15.75" customHeight="1" x14ac:dyDescent="0.15">
      <c r="A12" s="20"/>
      <c r="B12" s="1"/>
      <c r="Q12" s="4"/>
      <c r="V12" s="52" t="s">
        <v>121</v>
      </c>
      <c r="W12" s="152">
        <v>63.571428571428569</v>
      </c>
    </row>
    <row r="13" spans="1:23" s="3" customFormat="1" ht="15.75" customHeight="1" x14ac:dyDescent="0.15">
      <c r="A13" s="20"/>
      <c r="B13" s="1"/>
      <c r="Q13" s="4"/>
      <c r="R13" s="28"/>
      <c r="S13" s="11"/>
      <c r="T13" s="11"/>
      <c r="U13" s="1"/>
    </row>
    <row r="14" spans="1:23" s="3" customFormat="1" ht="15.75" customHeight="1" x14ac:dyDescent="0.15">
      <c r="A14" s="20"/>
      <c r="B14" s="1"/>
      <c r="Q14" s="4"/>
      <c r="R14" s="335" t="s">
        <v>65</v>
      </c>
      <c r="S14" s="336" t="s">
        <v>6</v>
      </c>
      <c r="T14" s="337" t="s">
        <v>117</v>
      </c>
      <c r="U14" s="4"/>
      <c r="V14" s="1"/>
    </row>
    <row r="15" spans="1:23" ht="15.75" customHeight="1" x14ac:dyDescent="0.15">
      <c r="R15" s="410" t="s">
        <v>69</v>
      </c>
      <c r="S15" s="129">
        <v>0.328125</v>
      </c>
      <c r="T15" s="333">
        <v>21</v>
      </c>
      <c r="U15" s="4"/>
      <c r="V15" s="1"/>
      <c r="W15" s="3"/>
    </row>
    <row r="16" spans="1:23" ht="15.75" customHeight="1" x14ac:dyDescent="0.15">
      <c r="R16" s="332" t="s">
        <v>66</v>
      </c>
      <c r="S16" s="129">
        <v>0.296875</v>
      </c>
      <c r="T16" s="333">
        <v>19</v>
      </c>
      <c r="U16" s="4"/>
      <c r="V16" s="1"/>
      <c r="W16" s="3"/>
    </row>
    <row r="17" spans="3:25" ht="13.5" customHeight="1" x14ac:dyDescent="0.15">
      <c r="R17" s="413" t="s">
        <v>67</v>
      </c>
      <c r="S17" s="129">
        <v>0.1875</v>
      </c>
      <c r="T17" s="333">
        <v>12</v>
      </c>
      <c r="U17" s="4"/>
      <c r="V17" s="4"/>
      <c r="X17" s="4"/>
      <c r="Y17" s="4"/>
    </row>
    <row r="18" spans="3:25" ht="15.75" customHeight="1" x14ac:dyDescent="0.15">
      <c r="R18" s="411" t="s">
        <v>60</v>
      </c>
      <c r="S18" s="129">
        <v>0.171875</v>
      </c>
      <c r="T18" s="333">
        <v>11</v>
      </c>
      <c r="U18" s="4"/>
      <c r="X18" s="12"/>
      <c r="Y18" s="4"/>
    </row>
    <row r="19" spans="3:25" ht="15.75" customHeight="1" x14ac:dyDescent="0.15">
      <c r="R19" s="411" t="s">
        <v>222</v>
      </c>
      <c r="S19" s="129">
        <v>7.8125E-2</v>
      </c>
      <c r="T19" s="334">
        <v>5</v>
      </c>
      <c r="U19" s="4"/>
      <c r="X19" s="10"/>
      <c r="Y19" s="4"/>
    </row>
    <row r="20" spans="3:25" ht="15.75" customHeight="1" x14ac:dyDescent="0.15">
      <c r="R20" s="271" t="s">
        <v>224</v>
      </c>
      <c r="S20" s="129">
        <v>6.25E-2</v>
      </c>
      <c r="T20" s="334">
        <v>4</v>
      </c>
      <c r="U20" s="4"/>
      <c r="X20" s="10"/>
      <c r="Y20" s="4"/>
    </row>
    <row r="21" spans="3:25" ht="15.75" customHeight="1" x14ac:dyDescent="0.15">
      <c r="F21" s="46" t="s">
        <v>121</v>
      </c>
      <c r="G21" s="50">
        <f>W12</f>
        <v>63.571428571428569</v>
      </c>
      <c r="R21" s="276" t="s">
        <v>223</v>
      </c>
      <c r="S21" s="277">
        <v>0</v>
      </c>
      <c r="T21" s="412">
        <v>0</v>
      </c>
      <c r="U21" s="4"/>
      <c r="X21" s="10"/>
      <c r="Y21" s="4"/>
    </row>
    <row r="22" spans="3:25" ht="15.75" customHeight="1" x14ac:dyDescent="0.15">
      <c r="R22"/>
      <c r="S22"/>
      <c r="T22"/>
      <c r="U22" s="4"/>
      <c r="X22" s="10"/>
      <c r="Y22" s="4"/>
    </row>
    <row r="23" spans="3:25" ht="15.75" customHeight="1" x14ac:dyDescent="0.15">
      <c r="R23"/>
      <c r="S23" s="172" t="s">
        <v>122</v>
      </c>
      <c r="T23" s="120">
        <v>64</v>
      </c>
      <c r="U23" s="4"/>
      <c r="X23" s="10"/>
      <c r="Y23" s="4"/>
    </row>
    <row r="24" spans="3:25" ht="15.75" customHeight="1" x14ac:dyDescent="0.15">
      <c r="R24"/>
      <c r="S24"/>
      <c r="T24"/>
      <c r="U24" s="4"/>
      <c r="X24" s="10"/>
      <c r="Y24" s="4"/>
    </row>
    <row r="25" spans="3:25" ht="25.5" customHeight="1" x14ac:dyDescent="0.15">
      <c r="C25" s="23"/>
      <c r="E25" s="430" t="s">
        <v>230</v>
      </c>
      <c r="F25" s="430"/>
      <c r="G25" s="236" t="s">
        <v>127</v>
      </c>
      <c r="H25" s="233" t="s">
        <v>117</v>
      </c>
      <c r="J25" s="431" t="s">
        <v>229</v>
      </c>
      <c r="K25" s="431"/>
      <c r="L25" s="233" t="s">
        <v>127</v>
      </c>
      <c r="M25" s="233" t="s">
        <v>117</v>
      </c>
      <c r="Q25" s="10"/>
      <c r="R25"/>
      <c r="S25"/>
      <c r="T25"/>
      <c r="U25" s="4"/>
      <c r="X25" s="10"/>
      <c r="Y25" s="4"/>
    </row>
    <row r="26" spans="3:25" ht="15.75" customHeight="1" x14ac:dyDescent="0.15">
      <c r="E26" s="212" t="s">
        <v>62</v>
      </c>
      <c r="F26" s="264" t="str">
        <f>R15</f>
        <v>No prior relationship</v>
      </c>
      <c r="G26" s="213">
        <f>S15</f>
        <v>0.328125</v>
      </c>
      <c r="H26" s="214">
        <f>T15</f>
        <v>21</v>
      </c>
      <c r="I26" s="148"/>
      <c r="J26" s="229" t="s">
        <v>62</v>
      </c>
      <c r="K26" s="231" t="str">
        <f>R28</f>
        <v>Off-campus residence</v>
      </c>
      <c r="L26" s="232">
        <f>S28</f>
        <v>0.43859649122807015</v>
      </c>
      <c r="M26" s="415">
        <f>T28</f>
        <v>25</v>
      </c>
      <c r="N26" s="107"/>
      <c r="R26" s="12"/>
      <c r="S26" s="10"/>
      <c r="T26" s="10"/>
      <c r="U26" s="4"/>
      <c r="X26" s="10"/>
      <c r="Y26" s="4"/>
    </row>
    <row r="27" spans="3:25" ht="15.75" customHeight="1" x14ac:dyDescent="0.15">
      <c r="E27" s="234" t="s">
        <v>63</v>
      </c>
      <c r="F27" s="265" t="str">
        <f t="shared" ref="F27:G30" si="0">R16</f>
        <v>Acquaintance or peer</v>
      </c>
      <c r="G27" s="198">
        <f t="shared" si="0"/>
        <v>0.296875</v>
      </c>
      <c r="H27" s="235">
        <f t="shared" ref="H27:H30" si="1">T16</f>
        <v>19</v>
      </c>
      <c r="I27" s="148"/>
      <c r="J27" s="201" t="s">
        <v>63</v>
      </c>
      <c r="K27" s="234" t="str">
        <f t="shared" ref="K27:K30" si="2">R29</f>
        <v>Other off-campus location</v>
      </c>
      <c r="L27" s="198">
        <f t="shared" ref="L27:L30" si="3">S29</f>
        <v>0.2807017543859649</v>
      </c>
      <c r="M27" s="416">
        <f t="shared" ref="M27:M30" si="4">T29</f>
        <v>16</v>
      </c>
      <c r="N27" s="107"/>
      <c r="R27" s="340" t="s">
        <v>70</v>
      </c>
      <c r="S27" s="336" t="s">
        <v>6</v>
      </c>
      <c r="T27" s="337" t="s">
        <v>117</v>
      </c>
      <c r="X27" s="10"/>
      <c r="Y27" s="4"/>
    </row>
    <row r="28" spans="3:25" ht="15.75" customHeight="1" x14ac:dyDescent="0.15">
      <c r="E28" s="210" t="s">
        <v>64</v>
      </c>
      <c r="F28" s="266" t="str">
        <f t="shared" si="0"/>
        <v>Ex-romantic partner or spouse</v>
      </c>
      <c r="G28" s="209">
        <f t="shared" si="0"/>
        <v>0.1875</v>
      </c>
      <c r="H28" s="211">
        <f t="shared" si="1"/>
        <v>12</v>
      </c>
      <c r="I28" s="148"/>
      <c r="J28" s="230" t="s">
        <v>64</v>
      </c>
      <c r="K28" s="231" t="str">
        <f t="shared" si="2"/>
        <v>Other on-campus location</v>
      </c>
      <c r="L28" s="232">
        <f t="shared" si="3"/>
        <v>0.17543859649122806</v>
      </c>
      <c r="M28" s="415">
        <f t="shared" si="4"/>
        <v>10</v>
      </c>
      <c r="N28" s="107"/>
      <c r="R28" s="410" t="s">
        <v>71</v>
      </c>
      <c r="S28" s="129">
        <v>0.43859649122807015</v>
      </c>
      <c r="T28" s="334">
        <v>25</v>
      </c>
      <c r="W28" s="10"/>
    </row>
    <row r="29" spans="3:25" ht="15.75" customHeight="1" x14ac:dyDescent="0.15">
      <c r="E29" s="234" t="s">
        <v>220</v>
      </c>
      <c r="F29" s="265" t="str">
        <f t="shared" si="0"/>
        <v>Friend</v>
      </c>
      <c r="G29" s="198">
        <f t="shared" si="0"/>
        <v>0.171875</v>
      </c>
      <c r="H29" s="235">
        <f t="shared" si="1"/>
        <v>11</v>
      </c>
      <c r="I29" s="148"/>
      <c r="J29" s="234" t="s">
        <v>220</v>
      </c>
      <c r="K29" s="234" t="str">
        <f t="shared" si="2"/>
        <v>Bar, night club, dance club</v>
      </c>
      <c r="L29" s="198">
        <f t="shared" si="3"/>
        <v>0.12280701754385964</v>
      </c>
      <c r="M29" s="416">
        <f t="shared" si="4"/>
        <v>7</v>
      </c>
      <c r="R29" s="410" t="s">
        <v>228</v>
      </c>
      <c r="S29" s="129">
        <v>0.2807017543859649</v>
      </c>
      <c r="T29" s="334">
        <v>16</v>
      </c>
      <c r="W29" s="10"/>
    </row>
    <row r="30" spans="3:25" ht="15.75" customHeight="1" x14ac:dyDescent="0.15">
      <c r="E30" s="210" t="s">
        <v>221</v>
      </c>
      <c r="F30" s="266" t="str">
        <f t="shared" si="0"/>
        <v xml:space="preserve">Current romantic partner or spouse </v>
      </c>
      <c r="G30" s="209">
        <f t="shared" si="0"/>
        <v>7.8125E-2</v>
      </c>
      <c r="H30" s="211">
        <f t="shared" si="1"/>
        <v>5</v>
      </c>
      <c r="J30" s="231" t="s">
        <v>221</v>
      </c>
      <c r="K30" s="231" t="str">
        <f t="shared" si="2"/>
        <v>On-campus residence</v>
      </c>
      <c r="L30" s="232">
        <f t="shared" si="3"/>
        <v>7.0175438596491224E-2</v>
      </c>
      <c r="M30" s="415">
        <f t="shared" si="4"/>
        <v>4</v>
      </c>
      <c r="R30" s="413" t="s">
        <v>227</v>
      </c>
      <c r="S30" s="129">
        <v>0.17543859649122806</v>
      </c>
      <c r="T30" s="334">
        <v>10</v>
      </c>
      <c r="U30" s="14"/>
    </row>
    <row r="31" spans="3:25" ht="15.75" customHeight="1" x14ac:dyDescent="0.15">
      <c r="E31" s="111" t="s">
        <v>122</v>
      </c>
      <c r="F31" s="147">
        <f>T23</f>
        <v>64</v>
      </c>
      <c r="G31" s="147"/>
      <c r="H31" s="148"/>
      <c r="J31" s="111" t="s">
        <v>122</v>
      </c>
      <c r="K31" s="147">
        <f>T36</f>
        <v>57</v>
      </c>
      <c r="L31" s="47"/>
      <c r="R31" s="339" t="s">
        <v>72</v>
      </c>
      <c r="S31" s="129">
        <v>0.12280701754385964</v>
      </c>
      <c r="T31" s="334">
        <v>7</v>
      </c>
      <c r="X31" s="11"/>
    </row>
    <row r="32" spans="3:25" ht="15.75" customHeight="1" x14ac:dyDescent="0.15">
      <c r="E32"/>
      <c r="F32"/>
      <c r="G32"/>
      <c r="H32"/>
      <c r="I32"/>
      <c r="J32"/>
      <c r="K32"/>
      <c r="L32"/>
      <c r="M32"/>
      <c r="R32" s="411" t="s">
        <v>249</v>
      </c>
      <c r="S32" s="129">
        <v>7.0175438596491224E-2</v>
      </c>
      <c r="T32" s="334">
        <v>4</v>
      </c>
      <c r="X32" s="11"/>
    </row>
    <row r="33" spans="18:24" x14ac:dyDescent="0.15">
      <c r="R33" s="411" t="s">
        <v>225</v>
      </c>
      <c r="S33" s="129">
        <v>0</v>
      </c>
      <c r="T33" s="334">
        <v>0</v>
      </c>
      <c r="W33" s="3"/>
      <c r="X33" s="11"/>
    </row>
    <row r="34" spans="18:24" x14ac:dyDescent="0.15">
      <c r="R34" s="414" t="s">
        <v>226</v>
      </c>
      <c r="S34" s="277">
        <v>0</v>
      </c>
      <c r="T34" s="338">
        <v>0</v>
      </c>
      <c r="W34" s="3"/>
      <c r="X34" s="3"/>
    </row>
    <row r="35" spans="18:24" x14ac:dyDescent="0.15">
      <c r="R35" s="256"/>
      <c r="S35" s="257"/>
      <c r="T35" s="255"/>
      <c r="W35" s="3"/>
      <c r="X35" s="11"/>
    </row>
    <row r="36" spans="18:24" x14ac:dyDescent="0.15">
      <c r="R36"/>
      <c r="S36" s="158" t="s">
        <v>122</v>
      </c>
      <c r="T36" s="118">
        <v>57</v>
      </c>
      <c r="W36" s="3"/>
    </row>
    <row r="37" spans="18:24" x14ac:dyDescent="0.15">
      <c r="W37" s="3"/>
    </row>
  </sheetData>
  <sheetProtection password="8E6E" sheet="1" objects="1" scenarios="1" selectLockedCells="1" selectUnlockedCells="1"/>
  <sortState ref="R28:T36">
    <sortCondition descending="1" ref="S29:S37"/>
  </sortState>
  <mergeCells count="3">
    <mergeCell ref="A2:O2"/>
    <mergeCell ref="E25:F25"/>
    <mergeCell ref="J25:K25"/>
  </mergeCells>
  <pageMargins left="0.5" right="0.5" top="0.5" bottom="0.5" header="0.1" footer="0.1"/>
  <pageSetup scale="63" orientation="landscape"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59"/>
  <sheetViews>
    <sheetView showGridLines="0" showRowColHeaders="0" zoomScale="90" zoomScaleNormal="90" workbookViewId="0">
      <selection activeCell="A35" sqref="A35"/>
    </sheetView>
  </sheetViews>
  <sheetFormatPr defaultColWidth="9.875" defaultRowHeight="11.25" x14ac:dyDescent="0.15"/>
  <cols>
    <col min="1" max="1" width="23" style="19" customWidth="1"/>
    <col min="2" max="2" width="3.625" style="4" customWidth="1"/>
    <col min="3" max="3" width="3" style="2" customWidth="1"/>
    <col min="4" max="5" width="16.375" style="2" customWidth="1"/>
    <col min="6" max="6" width="6.625" style="2" customWidth="1"/>
    <col min="7" max="7" width="28.875" style="2" customWidth="1"/>
    <col min="8" max="9" width="8.625" style="2" customWidth="1"/>
    <col min="10" max="10" width="5.25" style="2" customWidth="1"/>
    <col min="11" max="11" width="6.625" style="2" customWidth="1"/>
    <col min="12" max="12" width="35.75" style="2" customWidth="1"/>
    <col min="13" max="14" width="8.625" style="2" customWidth="1"/>
    <col min="15" max="15" width="20.75" style="2" customWidth="1"/>
    <col min="16" max="16" width="16.375" style="2" customWidth="1"/>
    <col min="17" max="17" width="9.875" style="2" hidden="1" customWidth="1"/>
    <col min="18" max="18" width="88.875" style="2" hidden="1" customWidth="1"/>
    <col min="19" max="19" width="18.5" style="2" hidden="1" customWidth="1"/>
    <col min="20" max="20" width="12.375" style="2" hidden="1" customWidth="1"/>
    <col min="21" max="21" width="28.375" style="2" hidden="1" customWidth="1"/>
    <col min="22" max="24" width="9.875" style="2" customWidth="1"/>
    <col min="25" max="16384" width="9.875" style="2"/>
  </cols>
  <sheetData>
    <row r="1" spans="1:22" ht="64.5" customHeight="1" thickBot="1" x14ac:dyDescent="0.2">
      <c r="A1" s="5"/>
      <c r="B1" s="5"/>
      <c r="C1" s="5"/>
      <c r="D1" s="5"/>
      <c r="E1" s="5"/>
      <c r="F1" s="5"/>
      <c r="G1" s="5"/>
      <c r="H1" s="5"/>
      <c r="I1" s="5"/>
      <c r="J1" s="5"/>
      <c r="K1" s="5"/>
      <c r="L1" s="5"/>
      <c r="M1" s="8"/>
      <c r="N1" s="8"/>
      <c r="O1" s="9" t="s">
        <v>1</v>
      </c>
    </row>
    <row r="2" spans="1:22" ht="18" customHeight="1" x14ac:dyDescent="0.15">
      <c r="A2" s="428" t="s">
        <v>74</v>
      </c>
      <c r="B2" s="428"/>
      <c r="C2" s="428"/>
      <c r="D2" s="428"/>
      <c r="E2" s="428"/>
      <c r="F2" s="428"/>
      <c r="G2" s="428"/>
      <c r="H2" s="428"/>
      <c r="I2" s="428"/>
      <c r="J2" s="428"/>
      <c r="K2" s="428"/>
      <c r="L2" s="428"/>
      <c r="M2" s="428"/>
      <c r="N2" s="428"/>
      <c r="O2" s="428"/>
      <c r="R2" s="323" t="s">
        <v>75</v>
      </c>
      <c r="S2" s="336" t="s">
        <v>6</v>
      </c>
      <c r="T2" s="327" t="s">
        <v>117</v>
      </c>
      <c r="U2" s="14"/>
    </row>
    <row r="3" spans="1:22" ht="15" customHeight="1" x14ac:dyDescent="0.15">
      <c r="Q3" s="4"/>
      <c r="R3" s="321" t="s">
        <v>76</v>
      </c>
      <c r="S3" s="142">
        <v>0.49180327868852458</v>
      </c>
      <c r="T3" s="341">
        <v>30</v>
      </c>
      <c r="U3" s="31"/>
    </row>
    <row r="4" spans="1:22" ht="15.75" customHeight="1" x14ac:dyDescent="0.15">
      <c r="A4" s="25"/>
      <c r="G4" s="23"/>
      <c r="H4" s="30"/>
      <c r="I4" s="30"/>
      <c r="J4" s="30"/>
      <c r="K4" s="31"/>
      <c r="Q4" s="4"/>
      <c r="R4" s="321" t="s">
        <v>81</v>
      </c>
      <c r="S4" s="142">
        <v>0.32786885245901637</v>
      </c>
      <c r="T4" s="341">
        <v>20</v>
      </c>
      <c r="U4" s="31"/>
    </row>
    <row r="5" spans="1:22" ht="15.75" customHeight="1" x14ac:dyDescent="0.15">
      <c r="G5" s="35"/>
      <c r="H5" s="32"/>
      <c r="I5" s="32"/>
      <c r="J5" s="32"/>
      <c r="K5" s="33"/>
      <c r="Q5" s="4"/>
      <c r="R5" s="321" t="s">
        <v>80</v>
      </c>
      <c r="S5" s="142">
        <v>0.21311475409836064</v>
      </c>
      <c r="T5" s="342">
        <v>13</v>
      </c>
      <c r="U5" s="31"/>
    </row>
    <row r="6" spans="1:22" ht="15.75" customHeight="1" x14ac:dyDescent="0.15">
      <c r="A6" s="24"/>
      <c r="B6" s="18"/>
      <c r="G6" s="35"/>
      <c r="H6" s="34"/>
      <c r="I6" s="34"/>
      <c r="J6" s="34"/>
      <c r="K6" s="33"/>
      <c r="Q6" s="4"/>
      <c r="R6" s="321" t="s">
        <v>68</v>
      </c>
      <c r="S6" s="142">
        <v>0.18032786885245902</v>
      </c>
      <c r="T6" s="342">
        <v>11</v>
      </c>
      <c r="U6" s="31"/>
    </row>
    <row r="7" spans="1:22" ht="42.75" customHeight="1" x14ac:dyDescent="0.15">
      <c r="A7" s="25"/>
      <c r="F7" s="432" t="s">
        <v>180</v>
      </c>
      <c r="G7" s="432"/>
      <c r="H7" s="194" t="s">
        <v>127</v>
      </c>
      <c r="I7" s="195" t="s">
        <v>117</v>
      </c>
      <c r="J7" s="34"/>
      <c r="K7" s="433" t="s">
        <v>181</v>
      </c>
      <c r="L7" s="434"/>
      <c r="M7" s="194" t="s">
        <v>127</v>
      </c>
      <c r="N7" s="194" t="s">
        <v>117</v>
      </c>
      <c r="Q7" s="4"/>
      <c r="R7" s="321" t="s">
        <v>77</v>
      </c>
      <c r="S7" s="142">
        <v>0.11475409836065574</v>
      </c>
      <c r="T7" s="342">
        <v>7</v>
      </c>
      <c r="U7" s="31"/>
    </row>
    <row r="8" spans="1:22" ht="32.1" customHeight="1" x14ac:dyDescent="0.15">
      <c r="A8" s="29"/>
      <c r="F8" s="216" t="s">
        <v>62</v>
      </c>
      <c r="G8" s="258" t="str">
        <f>R3</f>
        <v>Roommate/friend/classmate</v>
      </c>
      <c r="H8" s="418">
        <f t="shared" ref="H8:I10" si="0">S3</f>
        <v>0.49180327868852458</v>
      </c>
      <c r="I8" s="419">
        <f t="shared" si="0"/>
        <v>30</v>
      </c>
      <c r="J8" s="57"/>
      <c r="K8" s="219" t="s">
        <v>62</v>
      </c>
      <c r="L8" s="259" t="str">
        <f>R19</f>
        <v>Responded in a way that made you feel supported</v>
      </c>
      <c r="M8" s="420">
        <f t="shared" ref="M8:N8" si="1">S19</f>
        <v>0.68421052631578949</v>
      </c>
      <c r="N8" s="421">
        <f t="shared" si="1"/>
        <v>26</v>
      </c>
      <c r="Q8" s="4"/>
      <c r="R8" s="321" t="s">
        <v>223</v>
      </c>
      <c r="S8" s="142">
        <v>9.8360655737704916E-2</v>
      </c>
      <c r="T8" s="342">
        <v>6</v>
      </c>
      <c r="U8" s="31"/>
    </row>
    <row r="9" spans="1:22" s="3" customFormat="1" ht="32.1" customHeight="1" x14ac:dyDescent="0.15">
      <c r="A9" s="27"/>
      <c r="B9" s="1"/>
      <c r="D9" s="11"/>
      <c r="E9" s="11"/>
      <c r="F9" s="217" t="s">
        <v>63</v>
      </c>
      <c r="G9" s="260" t="str">
        <f t="shared" ref="G9:G10" si="2">R4</f>
        <v>No one</v>
      </c>
      <c r="H9" s="424">
        <f t="shared" si="0"/>
        <v>0.32786885245901637</v>
      </c>
      <c r="I9" s="425">
        <f t="shared" si="0"/>
        <v>20</v>
      </c>
      <c r="J9" s="106"/>
      <c r="K9" s="220" t="s">
        <v>63</v>
      </c>
      <c r="L9" s="261" t="str">
        <f t="shared" ref="L9:L10" si="3">R20</f>
        <v>Validated and believed your experience</v>
      </c>
      <c r="M9" s="422">
        <f t="shared" ref="M9:M10" si="4">S20</f>
        <v>0.47368421052631576</v>
      </c>
      <c r="N9" s="423">
        <f t="shared" ref="N9:N10" si="5">T20</f>
        <v>18</v>
      </c>
      <c r="O9" s="56"/>
      <c r="P9" s="11"/>
      <c r="Q9" s="4"/>
      <c r="R9" s="321" t="s">
        <v>79</v>
      </c>
      <c r="S9" s="142">
        <v>8.1967213114754092E-2</v>
      </c>
      <c r="T9" s="342">
        <v>5</v>
      </c>
      <c r="U9" s="31"/>
      <c r="V9" s="11"/>
    </row>
    <row r="10" spans="1:22" s="3" customFormat="1" ht="32.1" customHeight="1" x14ac:dyDescent="0.15">
      <c r="A10" s="20"/>
      <c r="B10" s="1"/>
      <c r="D10" s="11"/>
      <c r="E10" s="11"/>
      <c r="F10" s="218" t="s">
        <v>64</v>
      </c>
      <c r="G10" s="258" t="str">
        <f t="shared" si="2"/>
        <v>Romantic partner</v>
      </c>
      <c r="H10" s="418">
        <f t="shared" si="0"/>
        <v>0.21311475409836064</v>
      </c>
      <c r="I10" s="419">
        <f t="shared" si="0"/>
        <v>13</v>
      </c>
      <c r="J10" s="106"/>
      <c r="K10" s="221" t="s">
        <v>64</v>
      </c>
      <c r="L10" s="259" t="str">
        <f t="shared" si="3"/>
        <v>Listened sympathetically without criticizing or blaming you</v>
      </c>
      <c r="M10" s="420">
        <f t="shared" si="4"/>
        <v>0.44736842105263158</v>
      </c>
      <c r="N10" s="421">
        <f t="shared" si="5"/>
        <v>17</v>
      </c>
      <c r="Q10" s="4"/>
      <c r="R10" s="321" t="s">
        <v>224</v>
      </c>
      <c r="S10" s="142">
        <v>8.1967213114754092E-2</v>
      </c>
      <c r="T10" s="342">
        <v>5</v>
      </c>
      <c r="U10" s="31"/>
      <c r="V10" s="11"/>
    </row>
    <row r="11" spans="1:22" s="3" customFormat="1" ht="15.75" customHeight="1" x14ac:dyDescent="0.15">
      <c r="A11" s="20"/>
      <c r="B11" s="1"/>
      <c r="F11" s="59" t="s">
        <v>122</v>
      </c>
      <c r="G11" s="60">
        <f>T13</f>
        <v>61</v>
      </c>
      <c r="K11" s="59" t="s">
        <v>122</v>
      </c>
      <c r="L11" s="60">
        <f>T28</f>
        <v>38</v>
      </c>
      <c r="Q11" s="4"/>
      <c r="R11" s="281" t="s">
        <v>231</v>
      </c>
      <c r="S11" s="344">
        <v>0</v>
      </c>
      <c r="T11" s="417">
        <v>0</v>
      </c>
      <c r="U11" s="31"/>
      <c r="V11" s="11"/>
    </row>
    <row r="12" spans="1:22" s="3" customFormat="1" ht="15.75" customHeight="1" x14ac:dyDescent="0.15">
      <c r="A12" s="20"/>
      <c r="B12" s="1"/>
      <c r="Q12" s="4"/>
      <c r="R12"/>
      <c r="S12"/>
      <c r="T12"/>
      <c r="U12" s="31"/>
    </row>
    <row r="13" spans="1:22" s="3" customFormat="1" ht="15.75" customHeight="1" x14ac:dyDescent="0.15">
      <c r="A13" s="20"/>
      <c r="B13" s="1"/>
      <c r="Q13" s="4"/>
      <c r="R13"/>
      <c r="S13" s="177" t="s">
        <v>122</v>
      </c>
      <c r="T13" s="122">
        <v>61</v>
      </c>
      <c r="U13" s="31"/>
    </row>
    <row r="14" spans="1:22" s="3" customFormat="1" ht="15.75" customHeight="1" x14ac:dyDescent="0.15">
      <c r="A14" s="20"/>
      <c r="B14" s="1"/>
      <c r="Q14" s="4"/>
      <c r="R14"/>
      <c r="S14"/>
      <c r="T14"/>
      <c r="U14" s="31"/>
    </row>
    <row r="15" spans="1:22" ht="15.75" customHeight="1" x14ac:dyDescent="0.15">
      <c r="F15" s="3"/>
      <c r="G15" s="3"/>
      <c r="H15" s="3"/>
      <c r="I15" s="3"/>
      <c r="J15" s="3"/>
      <c r="K15" s="3"/>
      <c r="L15" s="3"/>
      <c r="M15" s="3"/>
      <c r="N15" s="3"/>
      <c r="U15" s="47"/>
    </row>
    <row r="16" spans="1:22" ht="15.75" customHeight="1" x14ac:dyDescent="0.15"/>
    <row r="17" spans="3:23" ht="15.75" customHeight="1" x14ac:dyDescent="0.15">
      <c r="R17" s="37"/>
      <c r="U17" s="14"/>
      <c r="V17" s="4"/>
      <c r="W17" s="4"/>
    </row>
    <row r="18" spans="3:23" ht="15.75" customHeight="1" x14ac:dyDescent="0.15">
      <c r="R18" s="335" t="s">
        <v>82</v>
      </c>
      <c r="S18" s="336" t="s">
        <v>6</v>
      </c>
      <c r="T18" s="327" t="s">
        <v>117</v>
      </c>
      <c r="V18" s="12"/>
      <c r="W18" s="4"/>
    </row>
    <row r="19" spans="3:23" ht="15.75" customHeight="1" x14ac:dyDescent="0.15">
      <c r="R19" s="321" t="s">
        <v>83</v>
      </c>
      <c r="S19" s="143">
        <v>0.68421052631578949</v>
      </c>
      <c r="T19" s="272">
        <v>26</v>
      </c>
      <c r="V19" s="10"/>
      <c r="W19" s="4"/>
    </row>
    <row r="20" spans="3:23" ht="15.75" customHeight="1" x14ac:dyDescent="0.15">
      <c r="R20" s="321" t="s">
        <v>232</v>
      </c>
      <c r="S20" s="143">
        <v>0.47368421052631576</v>
      </c>
      <c r="T20" s="272">
        <v>18</v>
      </c>
      <c r="V20" s="10"/>
      <c r="W20" s="4"/>
    </row>
    <row r="21" spans="3:23" ht="15.75" customHeight="1" x14ac:dyDescent="0.15">
      <c r="R21" s="321" t="s">
        <v>233</v>
      </c>
      <c r="S21" s="143">
        <v>0.44736842105263158</v>
      </c>
      <c r="T21" s="272">
        <v>17</v>
      </c>
      <c r="V21" s="10"/>
      <c r="W21" s="4"/>
    </row>
    <row r="22" spans="3:23" ht="15.75" customHeight="1" x14ac:dyDescent="0.15">
      <c r="R22" s="321" t="s">
        <v>86</v>
      </c>
      <c r="S22" s="143">
        <v>0.39473684210526316</v>
      </c>
      <c r="T22" s="272">
        <v>15</v>
      </c>
      <c r="V22" s="10"/>
      <c r="W22" s="4"/>
    </row>
    <row r="23" spans="3:23" ht="15.75" customHeight="1" x14ac:dyDescent="0.15">
      <c r="R23" s="321" t="s">
        <v>84</v>
      </c>
      <c r="S23" s="143">
        <v>0.21052631578947367</v>
      </c>
      <c r="T23" s="272">
        <v>8</v>
      </c>
      <c r="V23" s="10"/>
      <c r="W23" s="4"/>
    </row>
    <row r="24" spans="3:23" ht="15.75" customHeight="1" x14ac:dyDescent="0.15">
      <c r="R24" s="321" t="s">
        <v>85</v>
      </c>
      <c r="S24" s="143">
        <v>0.18421052631578946</v>
      </c>
      <c r="T24" s="272">
        <v>7</v>
      </c>
      <c r="V24" s="10"/>
      <c r="W24" s="4"/>
    </row>
    <row r="25" spans="3:23" ht="15.75" customHeight="1" x14ac:dyDescent="0.15">
      <c r="C25" s="23"/>
      <c r="Q25" s="10"/>
      <c r="R25" s="321" t="s">
        <v>104</v>
      </c>
      <c r="S25" s="143">
        <v>0.15789473684210525</v>
      </c>
      <c r="T25" s="272">
        <v>6</v>
      </c>
      <c r="V25" s="10"/>
      <c r="W25" s="4"/>
    </row>
    <row r="26" spans="3:23" ht="15.75" customHeight="1" x14ac:dyDescent="0.15">
      <c r="Q26" s="10"/>
      <c r="R26" s="343" t="s">
        <v>144</v>
      </c>
      <c r="S26" s="279">
        <v>0.13157894736842105</v>
      </c>
      <c r="T26" s="278">
        <v>5</v>
      </c>
      <c r="V26" s="10"/>
      <c r="W26" s="4"/>
    </row>
    <row r="27" spans="3:23" ht="15.75" customHeight="1" x14ac:dyDescent="0.15">
      <c r="Q27" s="10"/>
      <c r="U27" s="10"/>
      <c r="V27" s="10"/>
      <c r="W27" s="4"/>
    </row>
    <row r="28" spans="3:23" ht="15.75" customHeight="1" x14ac:dyDescent="0.15">
      <c r="R28" s="37"/>
      <c r="S28" s="158" t="s">
        <v>122</v>
      </c>
      <c r="T28" s="123">
        <v>38</v>
      </c>
      <c r="U28" s="14"/>
    </row>
    <row r="29" spans="3:23" ht="15.75" customHeight="1" x14ac:dyDescent="0.15">
      <c r="S29" s="21"/>
    </row>
    <row r="30" spans="3:23" ht="15.75" customHeight="1" x14ac:dyDescent="0.15">
      <c r="C30" s="190" t="s">
        <v>122</v>
      </c>
      <c r="D30" s="188">
        <f>T33</f>
        <v>57</v>
      </c>
      <c r="E30" s="189"/>
      <c r="F30" s="189"/>
      <c r="G30" s="52" t="s">
        <v>122</v>
      </c>
      <c r="H30" s="188">
        <f>T49</f>
        <v>57</v>
      </c>
      <c r="I30" s="188"/>
      <c r="R30" s="173" t="s">
        <v>87</v>
      </c>
      <c r="S30" s="174" t="s">
        <v>6</v>
      </c>
      <c r="T30" s="171" t="s">
        <v>117</v>
      </c>
    </row>
    <row r="31" spans="3:23" x14ac:dyDescent="0.15">
      <c r="J31" s="47"/>
      <c r="R31" s="137" t="s">
        <v>17</v>
      </c>
      <c r="S31" s="175">
        <v>5.2631578947368418E-2</v>
      </c>
      <c r="T31" s="126">
        <v>3</v>
      </c>
      <c r="U31" s="3"/>
      <c r="V31" s="11"/>
    </row>
    <row r="32" spans="3:23" x14ac:dyDescent="0.15">
      <c r="R32" s="137" t="s">
        <v>18</v>
      </c>
      <c r="S32" s="175">
        <v>0.94736842105263153</v>
      </c>
      <c r="T32" s="126">
        <v>54</v>
      </c>
      <c r="U32" s="3"/>
      <c r="V32" s="11"/>
    </row>
    <row r="33" spans="18:22" x14ac:dyDescent="0.15">
      <c r="R33" s="37"/>
      <c r="S33" s="176" t="s">
        <v>122</v>
      </c>
      <c r="T33" s="47">
        <v>57</v>
      </c>
      <c r="U33" s="3"/>
      <c r="V33" s="11"/>
    </row>
    <row r="34" spans="18:22" x14ac:dyDescent="0.15">
      <c r="U34" s="3"/>
      <c r="V34" s="3"/>
    </row>
    <row r="35" spans="18:22" x14ac:dyDescent="0.15">
      <c r="R35" s="335" t="s">
        <v>88</v>
      </c>
      <c r="S35" s="336" t="s">
        <v>6</v>
      </c>
      <c r="T35" s="327" t="s">
        <v>117</v>
      </c>
      <c r="U35" s="3"/>
      <c r="V35" s="11"/>
    </row>
    <row r="36" spans="18:22" x14ac:dyDescent="0.15">
      <c r="R36" s="271" t="s">
        <v>0</v>
      </c>
      <c r="S36" s="129">
        <v>0.14035087719298245</v>
      </c>
      <c r="T36" s="272">
        <v>8</v>
      </c>
    </row>
    <row r="37" spans="18:22" ht="22.5" x14ac:dyDescent="0.15">
      <c r="R37" s="339" t="s">
        <v>90</v>
      </c>
      <c r="S37" s="129">
        <v>0.19298245614035087</v>
      </c>
      <c r="T37" s="272">
        <v>11</v>
      </c>
    </row>
    <row r="38" spans="18:22" ht="22.5" x14ac:dyDescent="0.15">
      <c r="R38" s="339" t="s">
        <v>245</v>
      </c>
      <c r="S38" s="129">
        <v>0.2807017543859649</v>
      </c>
      <c r="T38" s="272">
        <v>16</v>
      </c>
    </row>
    <row r="39" spans="18:22" ht="12" customHeight="1" x14ac:dyDescent="0.15">
      <c r="R39" s="321" t="s">
        <v>89</v>
      </c>
      <c r="S39" s="129">
        <v>0.2982456140350877</v>
      </c>
      <c r="T39" s="272">
        <v>17</v>
      </c>
    </row>
    <row r="40" spans="18:22" x14ac:dyDescent="0.15">
      <c r="R40" s="271" t="s">
        <v>92</v>
      </c>
      <c r="S40" s="129">
        <v>0.35087719298245612</v>
      </c>
      <c r="T40" s="272">
        <v>20</v>
      </c>
    </row>
    <row r="41" spans="18:22" x14ac:dyDescent="0.15">
      <c r="R41" s="271" t="s">
        <v>94</v>
      </c>
      <c r="S41" s="129">
        <v>0.43859649122807015</v>
      </c>
      <c r="T41" s="272">
        <v>25</v>
      </c>
    </row>
    <row r="42" spans="18:22" ht="11.25" customHeight="1" x14ac:dyDescent="0.15">
      <c r="R42" s="339" t="s">
        <v>246</v>
      </c>
      <c r="S42" s="129">
        <v>0.45614035087719296</v>
      </c>
      <c r="T42" s="272">
        <v>26</v>
      </c>
    </row>
    <row r="43" spans="18:22" x14ac:dyDescent="0.15">
      <c r="R43" s="271" t="s">
        <v>91</v>
      </c>
      <c r="S43" s="129">
        <v>0.54385964912280704</v>
      </c>
      <c r="T43" s="272">
        <v>31</v>
      </c>
    </row>
    <row r="44" spans="18:22" x14ac:dyDescent="0.15">
      <c r="R44" s="271" t="s">
        <v>95</v>
      </c>
      <c r="S44" s="129">
        <v>0.56140350877192979</v>
      </c>
      <c r="T44" s="272">
        <v>32</v>
      </c>
    </row>
    <row r="45" spans="18:22" x14ac:dyDescent="0.15">
      <c r="R45" s="271" t="s">
        <v>93</v>
      </c>
      <c r="S45" s="129">
        <v>0.57894736842105265</v>
      </c>
      <c r="T45" s="272">
        <v>33</v>
      </c>
    </row>
    <row r="46" spans="18:22" x14ac:dyDescent="0.15">
      <c r="R46" s="276" t="s">
        <v>265</v>
      </c>
      <c r="S46" s="277">
        <v>0.68421052631578949</v>
      </c>
      <c r="T46" s="278">
        <v>39</v>
      </c>
    </row>
    <row r="49" spans="19:23" x14ac:dyDescent="0.15">
      <c r="S49" s="177" t="s">
        <v>122</v>
      </c>
      <c r="T49" s="118">
        <v>57</v>
      </c>
    </row>
    <row r="51" spans="19:23" x14ac:dyDescent="0.15">
      <c r="V51" s="11"/>
      <c r="W51" s="3"/>
    </row>
    <row r="52" spans="19:23" x14ac:dyDescent="0.15">
      <c r="V52" s="11"/>
      <c r="W52" s="3"/>
    </row>
    <row r="53" spans="19:23" x14ac:dyDescent="0.15">
      <c r="U53" s="3"/>
      <c r="V53" s="11"/>
      <c r="W53" s="3"/>
    </row>
    <row r="54" spans="19:23" ht="12.75" x14ac:dyDescent="0.2">
      <c r="U54" s="38"/>
      <c r="V54" s="11"/>
      <c r="W54" s="3"/>
    </row>
    <row r="55" spans="19:23" x14ac:dyDescent="0.15">
      <c r="U55" s="3"/>
      <c r="V55" s="11"/>
      <c r="W55" s="3"/>
    </row>
    <row r="56" spans="19:23" x14ac:dyDescent="0.15">
      <c r="U56" s="3"/>
      <c r="V56" s="11"/>
    </row>
    <row r="57" spans="19:23" x14ac:dyDescent="0.15">
      <c r="U57" s="3"/>
      <c r="V57" s="11"/>
    </row>
    <row r="58" spans="19:23" x14ac:dyDescent="0.15">
      <c r="U58" s="3"/>
      <c r="V58" s="11"/>
    </row>
    <row r="59" spans="19:23" ht="12.75" x14ac:dyDescent="0.2">
      <c r="U59" s="38"/>
      <c r="V59" s="26"/>
    </row>
  </sheetData>
  <sheetProtection password="8E6E" sheet="1" objects="1" scenarios="1" selectLockedCells="1" selectUnlockedCells="1"/>
  <sortState ref="R19:T26">
    <sortCondition ref="S18:S25"/>
  </sortState>
  <mergeCells count="3">
    <mergeCell ref="A2:O2"/>
    <mergeCell ref="F7:G7"/>
    <mergeCell ref="K7:L7"/>
  </mergeCells>
  <pageMargins left="0.5" right="0.5" top="0.5" bottom="0.5" header="0.1" footer="0.1"/>
  <pageSetup scale="69" orientation="landscape" r:id="rId1"/>
  <drawing r:id="rId2"/>
  <tableParts count="3">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59"/>
  <sheetViews>
    <sheetView showGridLines="0" showRowColHeaders="0" zoomScale="90" zoomScaleNormal="90" workbookViewId="0">
      <selection activeCell="A35" sqref="A35"/>
    </sheetView>
  </sheetViews>
  <sheetFormatPr defaultColWidth="9.875" defaultRowHeight="11.25" x14ac:dyDescent="0.15"/>
  <cols>
    <col min="1" max="1" width="23" style="19" customWidth="1"/>
    <col min="2" max="2" width="3.625" style="4" customWidth="1"/>
    <col min="3" max="3" width="7.75" style="2" customWidth="1"/>
    <col min="4" max="4" width="26.625" style="2" customWidth="1"/>
    <col min="5" max="5" width="10.125" style="2" customWidth="1"/>
    <col min="6" max="6" width="9.875" style="2" customWidth="1"/>
    <col min="7" max="7" width="20.125" style="2" customWidth="1"/>
    <col min="8" max="10" width="9.875" style="2" customWidth="1"/>
    <col min="11" max="11" width="38.75" style="2" customWidth="1"/>
    <col min="12" max="12" width="9.875" style="2"/>
    <col min="13" max="13" width="26.125" style="2" hidden="1" customWidth="1"/>
    <col min="14" max="14" width="78.75" style="2" hidden="1" customWidth="1"/>
    <col min="15" max="23" width="9.875" style="2" hidden="1" customWidth="1"/>
    <col min="24" max="24" width="0" style="2" hidden="1" customWidth="1"/>
    <col min="25" max="16384" width="9.875" style="2"/>
  </cols>
  <sheetData>
    <row r="1" spans="1:23" ht="64.5" customHeight="1" thickBot="1" x14ac:dyDescent="0.2">
      <c r="A1" s="5"/>
      <c r="B1" s="5"/>
      <c r="C1" s="5"/>
      <c r="D1" s="5"/>
      <c r="E1" s="5"/>
      <c r="F1" s="5"/>
      <c r="G1" s="5"/>
      <c r="H1" s="5"/>
      <c r="I1" s="5"/>
      <c r="J1" s="8"/>
      <c r="K1" s="9" t="s">
        <v>1</v>
      </c>
    </row>
    <row r="2" spans="1:23" ht="18" customHeight="1" x14ac:dyDescent="0.15">
      <c r="A2" s="428" t="s">
        <v>199</v>
      </c>
      <c r="B2" s="428"/>
      <c r="C2" s="428"/>
      <c r="D2" s="428"/>
      <c r="E2" s="428"/>
      <c r="F2" s="428"/>
      <c r="G2" s="428"/>
      <c r="H2" s="428"/>
      <c r="I2" s="428"/>
      <c r="J2" s="428"/>
      <c r="K2" s="428"/>
      <c r="N2" s="149"/>
    </row>
    <row r="3" spans="1:23" ht="15" customHeight="1" x14ac:dyDescent="0.15">
      <c r="N3" s="273" t="s">
        <v>176</v>
      </c>
      <c r="O3" s="274" t="s">
        <v>6</v>
      </c>
      <c r="P3" s="275" t="s">
        <v>117</v>
      </c>
      <c r="Q3" s="399" t="s">
        <v>321</v>
      </c>
      <c r="V3" s="149"/>
    </row>
    <row r="4" spans="1:23" ht="18.75" customHeight="1" x14ac:dyDescent="0.15">
      <c r="A4" s="25"/>
      <c r="G4"/>
      <c r="N4" s="349" t="s">
        <v>238</v>
      </c>
      <c r="O4" s="129">
        <v>9.3896713615023476E-3</v>
      </c>
      <c r="P4" s="272">
        <v>12</v>
      </c>
      <c r="Q4" s="395">
        <v>8</v>
      </c>
      <c r="R4" s="12"/>
      <c r="S4" s="12"/>
      <c r="T4" s="12"/>
      <c r="V4" s="115"/>
      <c r="W4" s="113"/>
    </row>
    <row r="5" spans="1:23" ht="15.75" customHeight="1" x14ac:dyDescent="0.15">
      <c r="D5" s="6"/>
      <c r="E5" s="6"/>
      <c r="F5" s="6"/>
      <c r="G5" s="6"/>
      <c r="I5" s="6"/>
      <c r="J5" s="6"/>
      <c r="K5" s="6"/>
      <c r="N5" s="348" t="s">
        <v>248</v>
      </c>
      <c r="O5" s="129">
        <v>1.6431924882629109E-2</v>
      </c>
      <c r="P5" s="272">
        <v>21</v>
      </c>
      <c r="Q5" s="272">
        <v>7</v>
      </c>
      <c r="R5" s="4"/>
      <c r="S5" s="4"/>
      <c r="T5" s="4"/>
      <c r="V5" s="115"/>
      <c r="W5" s="113"/>
    </row>
    <row r="6" spans="1:23" ht="15.75" customHeight="1" x14ac:dyDescent="0.15">
      <c r="A6" s="24"/>
      <c r="B6" s="18"/>
      <c r="D6" s="6"/>
      <c r="E6" s="6"/>
      <c r="F6" s="6"/>
      <c r="G6" s="6"/>
      <c r="H6" s="6"/>
      <c r="I6" s="6"/>
      <c r="J6" s="6"/>
      <c r="K6" s="6"/>
      <c r="N6" s="349" t="s">
        <v>235</v>
      </c>
      <c r="O6" s="129">
        <v>2.2691705790297341E-2</v>
      </c>
      <c r="P6" s="272">
        <v>29</v>
      </c>
      <c r="Q6" s="272">
        <v>3</v>
      </c>
      <c r="R6" s="4"/>
      <c r="S6" s="4"/>
      <c r="T6" s="4"/>
      <c r="V6" s="115"/>
      <c r="W6" s="113"/>
    </row>
    <row r="7" spans="1:23" ht="15.75" customHeight="1" x14ac:dyDescent="0.15">
      <c r="A7" s="25"/>
      <c r="D7" s="17"/>
      <c r="E7" s="17"/>
      <c r="F7" s="7"/>
      <c r="G7" s="7"/>
      <c r="H7" s="7"/>
      <c r="I7" s="7"/>
      <c r="J7" s="7"/>
      <c r="K7" s="7"/>
      <c r="N7" s="349" t="s">
        <v>237</v>
      </c>
      <c r="O7" s="129">
        <v>4.9295774647887321E-2</v>
      </c>
      <c r="P7" s="272">
        <v>63</v>
      </c>
      <c r="Q7" s="272">
        <v>5</v>
      </c>
      <c r="R7" s="4"/>
      <c r="S7" s="4"/>
      <c r="T7" s="4"/>
    </row>
    <row r="8" spans="1:23" ht="15.75" customHeight="1" x14ac:dyDescent="0.15">
      <c r="A8" s="29"/>
      <c r="D8" s="16"/>
      <c r="E8" s="16"/>
      <c r="N8" s="349" t="s">
        <v>236</v>
      </c>
      <c r="O8" s="129">
        <v>5.8685446009389672E-2</v>
      </c>
      <c r="P8" s="272">
        <v>75</v>
      </c>
      <c r="Q8" s="272">
        <v>4</v>
      </c>
      <c r="R8" s="4"/>
      <c r="S8" s="4"/>
      <c r="T8" s="4"/>
    </row>
    <row r="9" spans="1:23" s="3" customFormat="1" ht="15.75" customHeight="1" x14ac:dyDescent="0.15">
      <c r="A9" s="27"/>
      <c r="B9" s="1"/>
      <c r="D9" s="11"/>
      <c r="E9" s="11"/>
      <c r="L9" s="2"/>
      <c r="N9" s="349" t="s">
        <v>234</v>
      </c>
      <c r="O9" s="129">
        <v>7.746478873239436E-2</v>
      </c>
      <c r="P9" s="272">
        <v>99</v>
      </c>
      <c r="Q9" s="272">
        <v>2</v>
      </c>
      <c r="R9" s="4"/>
      <c r="S9" s="4"/>
      <c r="T9" s="4"/>
    </row>
    <row r="10" spans="1:23" s="3" customFormat="1" ht="15.75" customHeight="1" x14ac:dyDescent="0.2">
      <c r="A10" s="40"/>
      <c r="B10" s="1"/>
      <c r="D10" s="11"/>
      <c r="E10" s="11"/>
      <c r="L10" s="2"/>
      <c r="N10" s="349" t="s">
        <v>175</v>
      </c>
      <c r="O10" s="129">
        <v>9.3114241001564943E-2</v>
      </c>
      <c r="P10" s="272">
        <v>119</v>
      </c>
      <c r="Q10" s="272">
        <v>6</v>
      </c>
      <c r="R10" s="4"/>
      <c r="S10" s="4"/>
      <c r="T10" s="4"/>
    </row>
    <row r="11" spans="1:23" s="3" customFormat="1" ht="15.75" customHeight="1" x14ac:dyDescent="0.2">
      <c r="A11" s="40"/>
      <c r="B11" s="1"/>
      <c r="L11" s="2"/>
      <c r="N11" s="348" t="s">
        <v>247</v>
      </c>
      <c r="O11" s="129">
        <v>9.467918622848201E-2</v>
      </c>
      <c r="P11" s="272">
        <v>121</v>
      </c>
      <c r="Q11" s="272">
        <v>1</v>
      </c>
      <c r="R11" s="4"/>
      <c r="S11" s="4"/>
      <c r="T11" s="4"/>
    </row>
    <row r="12" spans="1:23" s="3" customFormat="1" ht="15.75" customHeight="1" x14ac:dyDescent="0.2">
      <c r="A12" s="40"/>
      <c r="B12" s="1"/>
      <c r="L12" s="2"/>
      <c r="N12" s="350" t="s">
        <v>174</v>
      </c>
      <c r="O12" s="129">
        <v>0.79107981220657275</v>
      </c>
      <c r="P12" s="278">
        <v>1011</v>
      </c>
      <c r="Q12" s="278">
        <v>9</v>
      </c>
    </row>
    <row r="13" spans="1:23" s="3" customFormat="1" ht="15.75" customHeight="1" x14ac:dyDescent="0.15">
      <c r="A13" s="20"/>
      <c r="B13" s="1"/>
      <c r="L13" s="2"/>
    </row>
    <row r="14" spans="1:23" s="3" customFormat="1" ht="15.75" customHeight="1" x14ac:dyDescent="0.15">
      <c r="A14" s="20"/>
      <c r="B14" s="1"/>
      <c r="L14" s="2"/>
      <c r="O14" s="118" t="s">
        <v>184</v>
      </c>
      <c r="P14" s="118">
        <v>1278</v>
      </c>
    </row>
    <row r="15" spans="1:23" ht="17.25" customHeight="1" x14ac:dyDescent="0.15"/>
    <row r="16" spans="1:23" ht="15" customHeight="1" x14ac:dyDescent="0.15">
      <c r="O16"/>
      <c r="P16"/>
      <c r="Q16"/>
      <c r="R16"/>
      <c r="S16"/>
      <c r="T16"/>
      <c r="U16"/>
    </row>
    <row r="17" spans="3:21" ht="24" customHeight="1" x14ac:dyDescent="0.15">
      <c r="O17"/>
      <c r="P17"/>
      <c r="Q17"/>
      <c r="R17"/>
      <c r="S17"/>
      <c r="T17"/>
      <c r="U17"/>
    </row>
    <row r="18" spans="3:21" ht="21" customHeight="1" x14ac:dyDescent="0.15">
      <c r="O18"/>
      <c r="P18"/>
      <c r="Q18"/>
      <c r="R18"/>
      <c r="S18"/>
      <c r="T18"/>
      <c r="U18"/>
    </row>
    <row r="19" spans="3:21" ht="21" customHeight="1" x14ac:dyDescent="0.15">
      <c r="N19" s="125" t="s">
        <v>264</v>
      </c>
      <c r="O19" s="163" t="s">
        <v>6</v>
      </c>
      <c r="P19" s="125" t="s">
        <v>117</v>
      </c>
    </row>
    <row r="20" spans="3:21" ht="21" customHeight="1" x14ac:dyDescent="0.15">
      <c r="N20" s="130" t="s">
        <v>17</v>
      </c>
      <c r="O20" s="144">
        <v>3.9215686274509803E-2</v>
      </c>
      <c r="P20" s="178">
        <v>10</v>
      </c>
      <c r="R20" s="262" t="s">
        <v>122</v>
      </c>
      <c r="S20" s="262">
        <v>255</v>
      </c>
    </row>
    <row r="21" spans="3:21" x14ac:dyDescent="0.15">
      <c r="N21" s="130" t="s">
        <v>18</v>
      </c>
      <c r="O21" s="144">
        <v>0.96078431372549022</v>
      </c>
      <c r="P21" s="140">
        <v>245</v>
      </c>
      <c r="S21" s="262" t="s">
        <v>323</v>
      </c>
    </row>
    <row r="22" spans="3:21" x14ac:dyDescent="0.15">
      <c r="N22" s="47"/>
      <c r="O22" s="46" t="s">
        <v>122</v>
      </c>
      <c r="P22" s="179">
        <v>255</v>
      </c>
    </row>
    <row r="24" spans="3:21" x14ac:dyDescent="0.15">
      <c r="N24" s="273" t="s">
        <v>168</v>
      </c>
      <c r="O24" s="274" t="s">
        <v>6</v>
      </c>
      <c r="P24" s="275" t="s">
        <v>117</v>
      </c>
    </row>
    <row r="25" spans="3:21" ht="24" customHeight="1" x14ac:dyDescent="0.15">
      <c r="N25" s="280" t="s">
        <v>169</v>
      </c>
      <c r="O25" s="129">
        <v>0.22222222222222221</v>
      </c>
      <c r="P25" s="346">
        <v>2</v>
      </c>
    </row>
    <row r="26" spans="3:21" ht="26.25" customHeight="1" x14ac:dyDescent="0.15">
      <c r="C26" s="435" t="s">
        <v>178</v>
      </c>
      <c r="D26" s="436"/>
      <c r="E26" s="194" t="s">
        <v>6</v>
      </c>
      <c r="F26" s="3"/>
      <c r="N26" s="280" t="s">
        <v>170</v>
      </c>
      <c r="O26" s="129">
        <v>0.22222222222222221</v>
      </c>
      <c r="P26" s="346">
        <v>2</v>
      </c>
    </row>
    <row r="27" spans="3:21" ht="13.5" customHeight="1" x14ac:dyDescent="0.15">
      <c r="C27" s="212" t="s">
        <v>62</v>
      </c>
      <c r="D27" s="212" t="str">
        <f t="shared" ref="D27:E29" si="0">N33</f>
        <v>Acquaintance or peer</v>
      </c>
      <c r="E27" s="206">
        <f t="shared" si="0"/>
        <v>0.37451737451737449</v>
      </c>
      <c r="F27" s="3"/>
      <c r="G27" s="189"/>
      <c r="H27" s="189"/>
      <c r="I27" s="189"/>
      <c r="J27" s="189"/>
      <c r="K27" s="189"/>
      <c r="N27" s="280" t="s">
        <v>171</v>
      </c>
      <c r="O27" s="129">
        <v>0</v>
      </c>
      <c r="P27" s="346">
        <v>0</v>
      </c>
    </row>
    <row r="28" spans="3:21" ht="13.5" customHeight="1" x14ac:dyDescent="0.15">
      <c r="C28" s="201" t="s">
        <v>63</v>
      </c>
      <c r="D28" s="201" t="str">
        <f t="shared" si="0"/>
        <v>Ex-romantic partner or spouse</v>
      </c>
      <c r="E28" s="202">
        <f t="shared" si="0"/>
        <v>0.32432432432432434</v>
      </c>
      <c r="G28" s="52" t="s">
        <v>122</v>
      </c>
      <c r="H28" s="188">
        <f>P14</f>
        <v>1278</v>
      </c>
      <c r="I28" s="189"/>
      <c r="J28" s="189"/>
      <c r="K28" s="189"/>
      <c r="N28" s="280" t="s">
        <v>172</v>
      </c>
      <c r="O28" s="129">
        <v>0.33333333333333331</v>
      </c>
      <c r="P28" s="346">
        <v>3</v>
      </c>
    </row>
    <row r="29" spans="3:21" ht="13.5" customHeight="1" x14ac:dyDescent="0.15">
      <c r="C29" s="210" t="s">
        <v>64</v>
      </c>
      <c r="D29" s="210" t="str">
        <f t="shared" si="0"/>
        <v>No prior relationship</v>
      </c>
      <c r="E29" s="209">
        <f t="shared" si="0"/>
        <v>0.21621621621621623</v>
      </c>
      <c r="G29" s="189"/>
      <c r="H29" s="189"/>
      <c r="I29" s="189"/>
      <c r="J29" s="189"/>
      <c r="K29" s="189"/>
      <c r="N29" s="281" t="s">
        <v>173</v>
      </c>
      <c r="O29" s="277">
        <v>0.22222222222222221</v>
      </c>
      <c r="P29" s="347">
        <v>2</v>
      </c>
    </row>
    <row r="30" spans="3:21" x14ac:dyDescent="0.15">
      <c r="C30" s="181" t="s">
        <v>122</v>
      </c>
      <c r="D30" s="197">
        <f>P41</f>
        <v>259</v>
      </c>
      <c r="E30" s="28"/>
      <c r="F30" s="28"/>
      <c r="O30" s="46" t="s">
        <v>122</v>
      </c>
      <c r="P30" s="50">
        <v>9</v>
      </c>
    </row>
    <row r="32" spans="3:21" x14ac:dyDescent="0.15">
      <c r="N32" s="345" t="s">
        <v>297</v>
      </c>
      <c r="O32" s="274" t="s">
        <v>6</v>
      </c>
      <c r="P32" s="275" t="s">
        <v>117</v>
      </c>
    </row>
    <row r="33" spans="3:19" x14ac:dyDescent="0.15">
      <c r="N33" s="271" t="s">
        <v>66</v>
      </c>
      <c r="O33" s="129">
        <v>0.37451737451737449</v>
      </c>
      <c r="P33" s="272">
        <v>97</v>
      </c>
    </row>
    <row r="34" spans="3:19" ht="26.25" customHeight="1" x14ac:dyDescent="0.15">
      <c r="C34" s="437" t="s">
        <v>177</v>
      </c>
      <c r="D34" s="438"/>
      <c r="E34" s="194" t="s">
        <v>6</v>
      </c>
      <c r="N34" s="271" t="s">
        <v>67</v>
      </c>
      <c r="O34" s="129">
        <v>0.32432432432432434</v>
      </c>
      <c r="P34" s="272">
        <v>84</v>
      </c>
    </row>
    <row r="35" spans="3:19" ht="13.5" customHeight="1" x14ac:dyDescent="0.15">
      <c r="C35" s="212" t="s">
        <v>62</v>
      </c>
      <c r="D35" s="212" t="str">
        <f t="shared" ref="D35:E37" si="1">N49</f>
        <v>Roommate/friend/classmate</v>
      </c>
      <c r="E35" s="206">
        <f t="shared" si="1"/>
        <v>0.52529182879377434</v>
      </c>
      <c r="N35" s="271" t="s">
        <v>69</v>
      </c>
      <c r="O35" s="129">
        <v>0.21621621621621623</v>
      </c>
      <c r="P35" s="272">
        <v>56</v>
      </c>
    </row>
    <row r="36" spans="3:19" ht="13.5" customHeight="1" x14ac:dyDescent="0.15">
      <c r="C36" s="201" t="s">
        <v>63</v>
      </c>
      <c r="D36" s="201" t="str">
        <f t="shared" si="1"/>
        <v>Family member</v>
      </c>
      <c r="E36" s="202">
        <f t="shared" si="1"/>
        <v>0.33463035019455251</v>
      </c>
      <c r="N36" s="271" t="s">
        <v>60</v>
      </c>
      <c r="O36" s="129">
        <v>0.18146718146718147</v>
      </c>
      <c r="P36" s="272">
        <v>47</v>
      </c>
    </row>
    <row r="37" spans="3:19" ht="13.5" customHeight="1" x14ac:dyDescent="0.15">
      <c r="C37" s="215" t="s">
        <v>64</v>
      </c>
      <c r="D37" s="215" t="str">
        <f t="shared" si="1"/>
        <v>Romantic partner</v>
      </c>
      <c r="E37" s="209">
        <f t="shared" si="1"/>
        <v>0.28793774319066145</v>
      </c>
      <c r="N37" s="271" t="s">
        <v>223</v>
      </c>
      <c r="O37" s="129">
        <v>3.4749034749034749E-2</v>
      </c>
      <c r="P37" s="272">
        <v>9</v>
      </c>
    </row>
    <row r="38" spans="3:19" x14ac:dyDescent="0.15">
      <c r="C38" s="46" t="s">
        <v>122</v>
      </c>
      <c r="D38" s="116">
        <f>P59</f>
        <v>257</v>
      </c>
      <c r="E38" s="16"/>
      <c r="N38" s="271" t="s">
        <v>61</v>
      </c>
      <c r="O38" s="129">
        <v>3.0888030888030889E-2</v>
      </c>
      <c r="P38" s="272">
        <v>8</v>
      </c>
    </row>
    <row r="39" spans="3:19" x14ac:dyDescent="0.15">
      <c r="N39" s="276"/>
      <c r="O39" s="277"/>
      <c r="P39" s="278"/>
    </row>
    <row r="40" spans="3:19" x14ac:dyDescent="0.15">
      <c r="C40" s="28"/>
      <c r="D40" s="28"/>
      <c r="E40" s="28"/>
      <c r="F40" s="28"/>
      <c r="N40"/>
      <c r="O40"/>
      <c r="P40"/>
    </row>
    <row r="41" spans="3:19" x14ac:dyDescent="0.15">
      <c r="N41"/>
      <c r="O41" s="124" t="s">
        <v>122</v>
      </c>
      <c r="P41" s="118">
        <v>259</v>
      </c>
    </row>
    <row r="42" spans="3:19" x14ac:dyDescent="0.15">
      <c r="N42"/>
      <c r="O42"/>
      <c r="P42"/>
      <c r="Q42" s="14"/>
      <c r="R42" s="14"/>
      <c r="S42" s="14"/>
    </row>
    <row r="43" spans="3:19" x14ac:dyDescent="0.15">
      <c r="N43"/>
      <c r="O43"/>
      <c r="P43"/>
    </row>
    <row r="44" spans="3:19" x14ac:dyDescent="0.15">
      <c r="N44"/>
      <c r="O44"/>
      <c r="P44"/>
    </row>
    <row r="47" spans="3:19" x14ac:dyDescent="0.15">
      <c r="O47" s="16"/>
    </row>
    <row r="48" spans="3:19" x14ac:dyDescent="0.15">
      <c r="N48" s="273" t="s">
        <v>75</v>
      </c>
      <c r="O48" s="274" t="s">
        <v>6</v>
      </c>
      <c r="P48" s="275" t="s">
        <v>117</v>
      </c>
    </row>
    <row r="49" spans="3:16" x14ac:dyDescent="0.15">
      <c r="N49" s="271" t="s">
        <v>76</v>
      </c>
      <c r="O49" s="143">
        <v>0.52529182879377434</v>
      </c>
      <c r="P49" s="272">
        <v>135</v>
      </c>
    </row>
    <row r="50" spans="3:16" x14ac:dyDescent="0.15">
      <c r="N50" s="271" t="s">
        <v>68</v>
      </c>
      <c r="O50" s="143">
        <v>0.33463035019455251</v>
      </c>
      <c r="P50" s="272">
        <v>86</v>
      </c>
    </row>
    <row r="51" spans="3:16" x14ac:dyDescent="0.15">
      <c r="N51" s="271" t="s">
        <v>80</v>
      </c>
      <c r="O51" s="143">
        <v>0.28793774319066145</v>
      </c>
      <c r="P51" s="272">
        <v>74</v>
      </c>
    </row>
    <row r="52" spans="3:16" x14ac:dyDescent="0.15">
      <c r="N52" s="271" t="s">
        <v>81</v>
      </c>
      <c r="O52" s="143">
        <v>0.24513618677042801</v>
      </c>
      <c r="P52" s="272">
        <v>63</v>
      </c>
    </row>
    <row r="53" spans="3:16" x14ac:dyDescent="0.15">
      <c r="H53" s="52"/>
      <c r="I53" s="53"/>
      <c r="N53" s="271" t="s">
        <v>223</v>
      </c>
      <c r="O53" s="143">
        <v>5.8365758754863814E-2</v>
      </c>
      <c r="P53" s="272">
        <v>15</v>
      </c>
    </row>
    <row r="54" spans="3:16" x14ac:dyDescent="0.15">
      <c r="C54" s="4"/>
      <c r="D54" s="1"/>
      <c r="E54" s="1"/>
      <c r="N54" s="271" t="s">
        <v>179</v>
      </c>
      <c r="O54" s="143">
        <v>5.0583657587548639E-2</v>
      </c>
      <c r="P54" s="272">
        <v>13</v>
      </c>
    </row>
    <row r="55" spans="3:16" x14ac:dyDescent="0.15">
      <c r="C55" s="1"/>
      <c r="D55" s="1"/>
      <c r="E55" s="1"/>
      <c r="N55" s="271" t="s">
        <v>77</v>
      </c>
      <c r="O55" s="143">
        <v>4.6692607003891051E-2</v>
      </c>
      <c r="P55" s="272">
        <v>12</v>
      </c>
    </row>
    <row r="56" spans="3:16" x14ac:dyDescent="0.15">
      <c r="C56" s="1"/>
      <c r="D56" s="1"/>
      <c r="E56" s="1"/>
      <c r="N56" s="271" t="s">
        <v>0</v>
      </c>
      <c r="O56" s="143">
        <v>2.7237354085603113E-2</v>
      </c>
      <c r="P56" s="272">
        <v>7</v>
      </c>
    </row>
    <row r="57" spans="3:16" x14ac:dyDescent="0.15">
      <c r="C57" s="4"/>
      <c r="D57" s="4"/>
      <c r="E57" s="4"/>
      <c r="N57" s="276" t="s">
        <v>78</v>
      </c>
      <c r="O57" s="279">
        <v>3.8910505836575876E-3</v>
      </c>
      <c r="P57" s="278">
        <v>1</v>
      </c>
    </row>
    <row r="58" spans="3:16" x14ac:dyDescent="0.15">
      <c r="C58" s="4"/>
      <c r="D58" s="4"/>
      <c r="E58" s="4"/>
      <c r="N58"/>
      <c r="O58"/>
      <c r="P58"/>
    </row>
    <row r="59" spans="3:16" x14ac:dyDescent="0.15">
      <c r="N59"/>
      <c r="O59" s="118" t="s">
        <v>122</v>
      </c>
      <c r="P59" s="118">
        <v>257</v>
      </c>
    </row>
  </sheetData>
  <sheetProtection password="8E6E" sheet="1" objects="1" scenarios="1" selectLockedCells="1" selectUnlockedCells="1"/>
  <sortState ref="N33:P44">
    <sortCondition descending="1" ref="O26:O37"/>
  </sortState>
  <mergeCells count="3">
    <mergeCell ref="A2:K2"/>
    <mergeCell ref="C26:D26"/>
    <mergeCell ref="C34:D34"/>
  </mergeCells>
  <pageMargins left="0.5" right="0.5" top="0.5" bottom="0.5" header="0.1" footer="0.1"/>
  <pageSetup scale="65" orientation="landscape"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Methods</vt:lpstr>
      <vt:lpstr>Demos</vt:lpstr>
      <vt:lpstr>Climate and Harassment</vt:lpstr>
      <vt:lpstr>Prevention Training</vt:lpstr>
      <vt:lpstr>SV Experiences</vt:lpstr>
      <vt:lpstr>Perp Behavior</vt:lpstr>
      <vt:lpstr>Reporting</vt:lpstr>
      <vt:lpstr>Stalking and Harassment</vt:lpstr>
      <vt:lpstr>Intimate Partner Violence</vt:lpstr>
      <vt:lpstr>Community Behaviors</vt:lpstr>
      <vt:lpstr>Community Attitudes</vt:lpstr>
      <vt:lpstr>Resources </vt:lpstr>
    </vt:vector>
  </TitlesOfParts>
  <Company>The Advisory Board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Brown</dc:creator>
  <cp:lastModifiedBy>Liz Brown</cp:lastModifiedBy>
  <cp:lastPrinted>2016-03-29T14:04:33Z</cp:lastPrinted>
  <dcterms:created xsi:type="dcterms:W3CDTF">2013-02-01T02:57:57Z</dcterms:created>
  <dcterms:modified xsi:type="dcterms:W3CDTF">2016-07-26T16:40:34Z</dcterms:modified>
</cp:coreProperties>
</file>